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eník stavebních prací\Ceník stavebních prací 5.9\"/>
    </mc:Choice>
  </mc:AlternateContent>
  <xr:revisionPtr revIDLastSave="0" documentId="13_ncr:1_{A6C8A875-C112-49DB-8CE8-99E51051B45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rycí list rozpočtu" sheetId="3" r:id="rId1"/>
    <sheet name="Rekapitulace" sheetId="2" r:id="rId2"/>
    <sheet name="Soupis dodávek a prací" sheetId="1" r:id="rId3"/>
    <sheet name="VORN" sheetId="4" state="hidden" r:id="rId4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3" l="1"/>
  <c r="I18" i="3"/>
  <c r="BW1920" i="1"/>
  <c r="BJ1920" i="1"/>
  <c r="BD1920" i="1"/>
  <c r="AP1920" i="1"/>
  <c r="BI1920" i="1" s="1"/>
  <c r="AE1920" i="1" s="1"/>
  <c r="AO1920" i="1"/>
  <c r="BH1920" i="1" s="1"/>
  <c r="AD1920" i="1" s="1"/>
  <c r="AL1920" i="1"/>
  <c r="AK1920" i="1"/>
  <c r="AJ1920" i="1"/>
  <c r="AH1920" i="1"/>
  <c r="AG1920" i="1"/>
  <c r="AF1920" i="1"/>
  <c r="AC1920" i="1"/>
  <c r="AB1920" i="1"/>
  <c r="Z1920" i="1"/>
  <c r="O1920" i="1"/>
  <c r="BF1920" i="1" s="1"/>
  <c r="M1920" i="1"/>
  <c r="L1920" i="1"/>
  <c r="BW2516" i="1"/>
  <c r="BJ2516" i="1"/>
  <c r="BD2516" i="1"/>
  <c r="AP2516" i="1"/>
  <c r="BI2516" i="1" s="1"/>
  <c r="AE2516" i="1" s="1"/>
  <c r="AO2516" i="1"/>
  <c r="BH2516" i="1" s="1"/>
  <c r="AD2516" i="1" s="1"/>
  <c r="AK2516" i="1"/>
  <c r="AJ2516" i="1"/>
  <c r="AH2516" i="1"/>
  <c r="AG2516" i="1"/>
  <c r="AF2516" i="1"/>
  <c r="AC2516" i="1"/>
  <c r="AB2516" i="1"/>
  <c r="Z2516" i="1"/>
  <c r="O2516" i="1"/>
  <c r="BF2516" i="1" s="1"/>
  <c r="L2516" i="1"/>
  <c r="AL2516" i="1" s="1"/>
  <c r="BW1997" i="1"/>
  <c r="BJ1997" i="1"/>
  <c r="BD1997" i="1"/>
  <c r="AP1997" i="1"/>
  <c r="BI1997" i="1" s="1"/>
  <c r="AE1997" i="1" s="1"/>
  <c r="AO1997" i="1"/>
  <c r="BH1997" i="1" s="1"/>
  <c r="AD1997" i="1" s="1"/>
  <c r="AK1997" i="1"/>
  <c r="AJ1997" i="1"/>
  <c r="AH1997" i="1"/>
  <c r="AG1997" i="1"/>
  <c r="AF1997" i="1"/>
  <c r="AC1997" i="1"/>
  <c r="AB1997" i="1"/>
  <c r="Z1997" i="1"/>
  <c r="O1997" i="1"/>
  <c r="BF1997" i="1" s="1"/>
  <c r="L1997" i="1"/>
  <c r="AL1997" i="1" s="1"/>
  <c r="BW2529" i="1"/>
  <c r="BJ2529" i="1"/>
  <c r="BD2529" i="1"/>
  <c r="AP2529" i="1"/>
  <c r="BI2529" i="1" s="1"/>
  <c r="AE2529" i="1" s="1"/>
  <c r="AO2529" i="1"/>
  <c r="BH2529" i="1" s="1"/>
  <c r="AD2529" i="1" s="1"/>
  <c r="AK2529" i="1"/>
  <c r="AJ2529" i="1"/>
  <c r="AH2529" i="1"/>
  <c r="AG2529" i="1"/>
  <c r="AF2529" i="1"/>
  <c r="AC2529" i="1"/>
  <c r="AB2529" i="1"/>
  <c r="Z2529" i="1"/>
  <c r="O2529" i="1"/>
  <c r="BF2529" i="1" s="1"/>
  <c r="L2529" i="1"/>
  <c r="AL2529" i="1" s="1"/>
  <c r="BW2527" i="1"/>
  <c r="BJ2527" i="1"/>
  <c r="BD2527" i="1"/>
  <c r="AP2527" i="1"/>
  <c r="AX2527" i="1" s="1"/>
  <c r="AO2527" i="1"/>
  <c r="AW2527" i="1" s="1"/>
  <c r="AK2527" i="1"/>
  <c r="AJ2527" i="1"/>
  <c r="AH2527" i="1"/>
  <c r="AG2527" i="1"/>
  <c r="AF2527" i="1"/>
  <c r="AC2527" i="1"/>
  <c r="AB2527" i="1"/>
  <c r="Z2527" i="1"/>
  <c r="O2527" i="1"/>
  <c r="BF2527" i="1" s="1"/>
  <c r="L2527" i="1"/>
  <c r="AL2527" i="1" s="1"/>
  <c r="K2527" i="1"/>
  <c r="J2527" i="1"/>
  <c r="O1103" i="1"/>
  <c r="L1103" i="1"/>
  <c r="M1103" i="1" s="1"/>
  <c r="BW1103" i="1"/>
  <c r="BJ1103" i="1"/>
  <c r="BD1103" i="1"/>
  <c r="AP1103" i="1"/>
  <c r="BI1103" i="1" s="1"/>
  <c r="AC1103" i="1" s="1"/>
  <c r="AO1103" i="1"/>
  <c r="BH1103" i="1" s="1"/>
  <c r="AB1103" i="1" s="1"/>
  <c r="AK1103" i="1"/>
  <c r="AJ1103" i="1"/>
  <c r="AH1103" i="1"/>
  <c r="AG1103" i="1"/>
  <c r="AF1103" i="1"/>
  <c r="AE1103" i="1"/>
  <c r="AD1103" i="1"/>
  <c r="Z1103" i="1"/>
  <c r="BF1103" i="1"/>
  <c r="BW1099" i="1"/>
  <c r="BJ1099" i="1"/>
  <c r="BD1099" i="1"/>
  <c r="AP1099" i="1"/>
  <c r="BI1099" i="1" s="1"/>
  <c r="AC1099" i="1" s="1"/>
  <c r="AO1099" i="1"/>
  <c r="BH1099" i="1" s="1"/>
  <c r="AB1099" i="1" s="1"/>
  <c r="AK1099" i="1"/>
  <c r="AJ1099" i="1"/>
  <c r="AH1099" i="1"/>
  <c r="AG1099" i="1"/>
  <c r="AF1099" i="1"/>
  <c r="AE1099" i="1"/>
  <c r="AD1099" i="1"/>
  <c r="Z1099" i="1"/>
  <c r="O1099" i="1"/>
  <c r="BF1099" i="1" s="1"/>
  <c r="L1099" i="1"/>
  <c r="AL1099" i="1" s="1"/>
  <c r="BW1092" i="1"/>
  <c r="BJ1092" i="1"/>
  <c r="BD1092" i="1"/>
  <c r="AP1092" i="1"/>
  <c r="BI1092" i="1" s="1"/>
  <c r="AC1092" i="1" s="1"/>
  <c r="AO1092" i="1"/>
  <c r="AW1092" i="1" s="1"/>
  <c r="AK1092" i="1"/>
  <c r="AJ1092" i="1"/>
  <c r="AH1092" i="1"/>
  <c r="AG1092" i="1"/>
  <c r="AF1092" i="1"/>
  <c r="AE1092" i="1"/>
  <c r="AD1092" i="1"/>
  <c r="Z1092" i="1"/>
  <c r="O1092" i="1"/>
  <c r="BF1092" i="1" s="1"/>
  <c r="L1092" i="1"/>
  <c r="AL1092" i="1" s="1"/>
  <c r="BW1081" i="1"/>
  <c r="BJ1081" i="1"/>
  <c r="BD1081" i="1"/>
  <c r="AP1081" i="1"/>
  <c r="AX1081" i="1" s="1"/>
  <c r="AO1081" i="1"/>
  <c r="AW1081" i="1" s="1"/>
  <c r="AK1081" i="1"/>
  <c r="AJ1081" i="1"/>
  <c r="AH1081" i="1"/>
  <c r="AG1081" i="1"/>
  <c r="AF1081" i="1"/>
  <c r="AE1081" i="1"/>
  <c r="AD1081" i="1"/>
  <c r="Z1081" i="1"/>
  <c r="O1081" i="1"/>
  <c r="BF1081" i="1" s="1"/>
  <c r="L1081" i="1"/>
  <c r="BW1074" i="1"/>
  <c r="BJ1074" i="1"/>
  <c r="BD1074" i="1"/>
  <c r="AP1074" i="1"/>
  <c r="BI1074" i="1" s="1"/>
  <c r="AC1074" i="1" s="1"/>
  <c r="AO1074" i="1"/>
  <c r="AW1074" i="1" s="1"/>
  <c r="AK1074" i="1"/>
  <c r="AJ1074" i="1"/>
  <c r="AH1074" i="1"/>
  <c r="AG1074" i="1"/>
  <c r="AF1074" i="1"/>
  <c r="AE1074" i="1"/>
  <c r="AD1074" i="1"/>
  <c r="Z1074" i="1"/>
  <c r="O1074" i="1"/>
  <c r="BF1074" i="1" s="1"/>
  <c r="L1074" i="1"/>
  <c r="AL1074" i="1" s="1"/>
  <c r="BW1072" i="1"/>
  <c r="BJ1072" i="1"/>
  <c r="BD1072" i="1"/>
  <c r="AP1072" i="1"/>
  <c r="BI1072" i="1" s="1"/>
  <c r="AC1072" i="1" s="1"/>
  <c r="AO1072" i="1"/>
  <c r="AW1072" i="1" s="1"/>
  <c r="AK1072" i="1"/>
  <c r="AJ1072" i="1"/>
  <c r="AH1072" i="1"/>
  <c r="AG1072" i="1"/>
  <c r="AF1072" i="1"/>
  <c r="AE1072" i="1"/>
  <c r="AD1072" i="1"/>
  <c r="Z1072" i="1"/>
  <c r="O1072" i="1"/>
  <c r="BF1072" i="1" s="1"/>
  <c r="L1072" i="1"/>
  <c r="AL1072" i="1" s="1"/>
  <c r="BW1063" i="1"/>
  <c r="BJ1063" i="1"/>
  <c r="BD1063" i="1"/>
  <c r="AP1063" i="1"/>
  <c r="AX1063" i="1" s="1"/>
  <c r="AO1063" i="1"/>
  <c r="AW1063" i="1" s="1"/>
  <c r="AK1063" i="1"/>
  <c r="AJ1063" i="1"/>
  <c r="AH1063" i="1"/>
  <c r="AG1063" i="1"/>
  <c r="AF1063" i="1"/>
  <c r="AE1063" i="1"/>
  <c r="AD1063" i="1"/>
  <c r="Z1063" i="1"/>
  <c r="O1063" i="1"/>
  <c r="BF1063" i="1" s="1"/>
  <c r="L1063" i="1"/>
  <c r="AL1063" i="1" s="1"/>
  <c r="BW1062" i="1"/>
  <c r="BJ1062" i="1"/>
  <c r="BD1062" i="1"/>
  <c r="AP1062" i="1"/>
  <c r="BI1062" i="1" s="1"/>
  <c r="AC1062" i="1" s="1"/>
  <c r="AO1062" i="1"/>
  <c r="BH1062" i="1" s="1"/>
  <c r="AB1062" i="1" s="1"/>
  <c r="AK1062" i="1"/>
  <c r="AJ1062" i="1"/>
  <c r="AH1062" i="1"/>
  <c r="AG1062" i="1"/>
  <c r="AF1062" i="1"/>
  <c r="AE1062" i="1"/>
  <c r="AD1062" i="1"/>
  <c r="Z1062" i="1"/>
  <c r="O1062" i="1"/>
  <c r="BF1062" i="1" s="1"/>
  <c r="L1062" i="1"/>
  <c r="AL1062" i="1" s="1"/>
  <c r="BW1058" i="1"/>
  <c r="BJ1058" i="1"/>
  <c r="BD1058" i="1"/>
  <c r="AP1058" i="1"/>
  <c r="BI1058" i="1" s="1"/>
  <c r="AC1058" i="1" s="1"/>
  <c r="AO1058" i="1"/>
  <c r="AW1058" i="1" s="1"/>
  <c r="AK1058" i="1"/>
  <c r="AJ1058" i="1"/>
  <c r="AH1058" i="1"/>
  <c r="AG1058" i="1"/>
  <c r="AF1058" i="1"/>
  <c r="AE1058" i="1"/>
  <c r="AD1058" i="1"/>
  <c r="Z1058" i="1"/>
  <c r="O1058" i="1"/>
  <c r="BF1058" i="1" s="1"/>
  <c r="L1058" i="1"/>
  <c r="AL1058" i="1" s="1"/>
  <c r="BW1050" i="1"/>
  <c r="BJ1050" i="1"/>
  <c r="BD1050" i="1"/>
  <c r="AP1050" i="1"/>
  <c r="AX1050" i="1" s="1"/>
  <c r="AO1050" i="1"/>
  <c r="AW1050" i="1" s="1"/>
  <c r="AK1050" i="1"/>
  <c r="AJ1050" i="1"/>
  <c r="AH1050" i="1"/>
  <c r="AG1050" i="1"/>
  <c r="AF1050" i="1"/>
  <c r="AE1050" i="1"/>
  <c r="AD1050" i="1"/>
  <c r="Z1050" i="1"/>
  <c r="O1050" i="1"/>
  <c r="BF1050" i="1" s="1"/>
  <c r="L1050" i="1"/>
  <c r="K1050" i="1"/>
  <c r="J1050" i="1"/>
  <c r="BW1049" i="1"/>
  <c r="BJ1049" i="1"/>
  <c r="BD1049" i="1"/>
  <c r="AP1049" i="1"/>
  <c r="BI1049" i="1" s="1"/>
  <c r="AC1049" i="1" s="1"/>
  <c r="AO1049" i="1"/>
  <c r="BH1049" i="1" s="1"/>
  <c r="AB1049" i="1" s="1"/>
  <c r="AK1049" i="1"/>
  <c r="AJ1049" i="1"/>
  <c r="AH1049" i="1"/>
  <c r="AG1049" i="1"/>
  <c r="AF1049" i="1"/>
  <c r="AE1049" i="1"/>
  <c r="AD1049" i="1"/>
  <c r="Z1049" i="1"/>
  <c r="O1049" i="1"/>
  <c r="BF1049" i="1" s="1"/>
  <c r="L1049" i="1"/>
  <c r="AL1049" i="1" s="1"/>
  <c r="BW1048" i="1"/>
  <c r="BJ1048" i="1"/>
  <c r="BD1048" i="1"/>
  <c r="AP1048" i="1"/>
  <c r="BI1048" i="1" s="1"/>
  <c r="AC1048" i="1" s="1"/>
  <c r="AO1048" i="1"/>
  <c r="BH1048" i="1" s="1"/>
  <c r="AB1048" i="1" s="1"/>
  <c r="AK1048" i="1"/>
  <c r="AJ1048" i="1"/>
  <c r="AH1048" i="1"/>
  <c r="AG1048" i="1"/>
  <c r="AF1048" i="1"/>
  <c r="AE1048" i="1"/>
  <c r="AD1048" i="1"/>
  <c r="Z1048" i="1"/>
  <c r="O1048" i="1"/>
  <c r="BF1048" i="1" s="1"/>
  <c r="L1048" i="1"/>
  <c r="AL1048" i="1" s="1"/>
  <c r="BW1037" i="1"/>
  <c r="BJ1037" i="1"/>
  <c r="BD1037" i="1"/>
  <c r="AP1037" i="1"/>
  <c r="AX1037" i="1" s="1"/>
  <c r="AO1037" i="1"/>
  <c r="AW1037" i="1" s="1"/>
  <c r="AK1037" i="1"/>
  <c r="AJ1037" i="1"/>
  <c r="AH1037" i="1"/>
  <c r="AG1037" i="1"/>
  <c r="AF1037" i="1"/>
  <c r="AE1037" i="1"/>
  <c r="AD1037" i="1"/>
  <c r="Z1037" i="1"/>
  <c r="O1037" i="1"/>
  <c r="BF1037" i="1" s="1"/>
  <c r="L1037" i="1"/>
  <c r="AL1037" i="1" s="1"/>
  <c r="K1037" i="1"/>
  <c r="J1037" i="1"/>
  <c r="BW1022" i="1"/>
  <c r="BJ1022" i="1"/>
  <c r="BD1022" i="1"/>
  <c r="AP1022" i="1"/>
  <c r="BI1022" i="1" s="1"/>
  <c r="AC1022" i="1" s="1"/>
  <c r="AO1022" i="1"/>
  <c r="BH1022" i="1" s="1"/>
  <c r="AB1022" i="1" s="1"/>
  <c r="AK1022" i="1"/>
  <c r="AJ1022" i="1"/>
  <c r="AH1022" i="1"/>
  <c r="AG1022" i="1"/>
  <c r="AF1022" i="1"/>
  <c r="AE1022" i="1"/>
  <c r="AD1022" i="1"/>
  <c r="Z1022" i="1"/>
  <c r="O1022" i="1"/>
  <c r="BF1022" i="1" s="1"/>
  <c r="L1022" i="1"/>
  <c r="AL1022" i="1" s="1"/>
  <c r="BW1007" i="1"/>
  <c r="BJ1007" i="1"/>
  <c r="BD1007" i="1"/>
  <c r="AP1007" i="1"/>
  <c r="BI1007" i="1" s="1"/>
  <c r="AC1007" i="1" s="1"/>
  <c r="AO1007" i="1"/>
  <c r="BH1007" i="1" s="1"/>
  <c r="AB1007" i="1" s="1"/>
  <c r="AK1007" i="1"/>
  <c r="AJ1007" i="1"/>
  <c r="AH1007" i="1"/>
  <c r="AG1007" i="1"/>
  <c r="AF1007" i="1"/>
  <c r="AE1007" i="1"/>
  <c r="AD1007" i="1"/>
  <c r="Z1007" i="1"/>
  <c r="O1007" i="1"/>
  <c r="BF1007" i="1" s="1"/>
  <c r="L1007" i="1"/>
  <c r="AL1007" i="1" s="1"/>
  <c r="BW999" i="1"/>
  <c r="BJ999" i="1"/>
  <c r="BD999" i="1"/>
  <c r="AP999" i="1"/>
  <c r="AX999" i="1" s="1"/>
  <c r="AO999" i="1"/>
  <c r="BH999" i="1" s="1"/>
  <c r="AB999" i="1" s="1"/>
  <c r="AK999" i="1"/>
  <c r="AJ999" i="1"/>
  <c r="AH999" i="1"/>
  <c r="AG999" i="1"/>
  <c r="AF999" i="1"/>
  <c r="AE999" i="1"/>
  <c r="AD999" i="1"/>
  <c r="Z999" i="1"/>
  <c r="O999" i="1"/>
  <c r="BF999" i="1" s="1"/>
  <c r="L999" i="1"/>
  <c r="AL999" i="1" s="1"/>
  <c r="BW1552" i="1"/>
  <c r="BJ1552" i="1"/>
  <c r="Z1552" i="1" s="1"/>
  <c r="BD1552" i="1"/>
  <c r="AP1552" i="1"/>
  <c r="BI1552" i="1" s="1"/>
  <c r="AO1552" i="1"/>
  <c r="BH1552" i="1" s="1"/>
  <c r="AK1552" i="1"/>
  <c r="AJ1552" i="1"/>
  <c r="AH1552" i="1"/>
  <c r="AG1552" i="1"/>
  <c r="AF1552" i="1"/>
  <c r="AE1552" i="1"/>
  <c r="AD1552" i="1"/>
  <c r="AC1552" i="1"/>
  <c r="AB1552" i="1"/>
  <c r="O1552" i="1"/>
  <c r="BF1552" i="1" s="1"/>
  <c r="L1552" i="1"/>
  <c r="AL1552" i="1" s="1"/>
  <c r="BW1529" i="1"/>
  <c r="BJ1529" i="1"/>
  <c r="BD1529" i="1"/>
  <c r="AP1529" i="1"/>
  <c r="K1529" i="1" s="1"/>
  <c r="AO1529" i="1"/>
  <c r="AW1529" i="1" s="1"/>
  <c r="AK1529" i="1"/>
  <c r="AJ1529" i="1"/>
  <c r="AH1529" i="1"/>
  <c r="AG1529" i="1"/>
  <c r="AF1529" i="1"/>
  <c r="AC1529" i="1"/>
  <c r="AB1529" i="1"/>
  <c r="Z1529" i="1"/>
  <c r="O1529" i="1"/>
  <c r="BF1529" i="1" s="1"/>
  <c r="L1529" i="1"/>
  <c r="AL1529" i="1" s="1"/>
  <c r="BW1517" i="1"/>
  <c r="BJ1517" i="1"/>
  <c r="BD1517" i="1"/>
  <c r="AP1517" i="1"/>
  <c r="AX1517" i="1" s="1"/>
  <c r="AO1517" i="1"/>
  <c r="AW1517" i="1" s="1"/>
  <c r="AK1517" i="1"/>
  <c r="AJ1517" i="1"/>
  <c r="AH1517" i="1"/>
  <c r="AG1517" i="1"/>
  <c r="AF1517" i="1"/>
  <c r="AC1517" i="1"/>
  <c r="AB1517" i="1"/>
  <c r="Z1517" i="1"/>
  <c r="O1517" i="1"/>
  <c r="BF1517" i="1" s="1"/>
  <c r="L1517" i="1"/>
  <c r="AL1517" i="1" s="1"/>
  <c r="K1517" i="1"/>
  <c r="J1517" i="1"/>
  <c r="BW1505" i="1"/>
  <c r="BJ1505" i="1"/>
  <c r="BD1505" i="1"/>
  <c r="AP1505" i="1"/>
  <c r="BI1505" i="1" s="1"/>
  <c r="AE1505" i="1" s="1"/>
  <c r="AO1505" i="1"/>
  <c r="BH1505" i="1" s="1"/>
  <c r="AD1505" i="1" s="1"/>
  <c r="AK1505" i="1"/>
  <c r="AJ1505" i="1"/>
  <c r="AH1505" i="1"/>
  <c r="AG1505" i="1"/>
  <c r="AF1505" i="1"/>
  <c r="AC1505" i="1"/>
  <c r="AB1505" i="1"/>
  <c r="Z1505" i="1"/>
  <c r="O1505" i="1"/>
  <c r="BF1505" i="1" s="1"/>
  <c r="L1505" i="1"/>
  <c r="AL1505" i="1" s="1"/>
  <c r="BW1497" i="1"/>
  <c r="BJ1497" i="1"/>
  <c r="BD1497" i="1"/>
  <c r="AP1497" i="1"/>
  <c r="BI1497" i="1" s="1"/>
  <c r="AE1497" i="1" s="1"/>
  <c r="AO1497" i="1"/>
  <c r="BH1497" i="1" s="1"/>
  <c r="AD1497" i="1" s="1"/>
  <c r="AK1497" i="1"/>
  <c r="AJ1497" i="1"/>
  <c r="AH1497" i="1"/>
  <c r="AG1497" i="1"/>
  <c r="AF1497" i="1"/>
  <c r="AC1497" i="1"/>
  <c r="AB1497" i="1"/>
  <c r="Z1497" i="1"/>
  <c r="O1497" i="1"/>
  <c r="BF1497" i="1" s="1"/>
  <c r="L1497" i="1"/>
  <c r="AL1497" i="1" s="1"/>
  <c r="K1497" i="1"/>
  <c r="J1497" i="1"/>
  <c r="BW1492" i="1"/>
  <c r="BJ1492" i="1"/>
  <c r="BD1492" i="1"/>
  <c r="AP1492" i="1"/>
  <c r="AX1492" i="1" s="1"/>
  <c r="AO1492" i="1"/>
  <c r="AW1492" i="1" s="1"/>
  <c r="AK1492" i="1"/>
  <c r="AJ1492" i="1"/>
  <c r="AH1492" i="1"/>
  <c r="AG1492" i="1"/>
  <c r="AF1492" i="1"/>
  <c r="AC1492" i="1"/>
  <c r="AB1492" i="1"/>
  <c r="Z1492" i="1"/>
  <c r="O1492" i="1"/>
  <c r="BF1492" i="1" s="1"/>
  <c r="L1492" i="1"/>
  <c r="AL1492" i="1" s="1"/>
  <c r="K1492" i="1"/>
  <c r="J1492" i="1"/>
  <c r="BW1488" i="1"/>
  <c r="BJ1488" i="1"/>
  <c r="BD1488" i="1"/>
  <c r="AP1488" i="1"/>
  <c r="BI1488" i="1" s="1"/>
  <c r="AE1488" i="1" s="1"/>
  <c r="AO1488" i="1"/>
  <c r="BH1488" i="1" s="1"/>
  <c r="AD1488" i="1" s="1"/>
  <c r="AK1488" i="1"/>
  <c r="AJ1488" i="1"/>
  <c r="AH1488" i="1"/>
  <c r="AG1488" i="1"/>
  <c r="AF1488" i="1"/>
  <c r="AC1488" i="1"/>
  <c r="AB1488" i="1"/>
  <c r="Z1488" i="1"/>
  <c r="O1488" i="1"/>
  <c r="BF1488" i="1" s="1"/>
  <c r="L1488" i="1"/>
  <c r="AL1488" i="1" s="1"/>
  <c r="BW1473" i="1"/>
  <c r="BJ1473" i="1"/>
  <c r="BD1473" i="1"/>
  <c r="AP1473" i="1"/>
  <c r="K1473" i="1" s="1"/>
  <c r="AO1473" i="1"/>
  <c r="AW1473" i="1" s="1"/>
  <c r="AK1473" i="1"/>
  <c r="AJ1473" i="1"/>
  <c r="AH1473" i="1"/>
  <c r="AG1473" i="1"/>
  <c r="AF1473" i="1"/>
  <c r="AC1473" i="1"/>
  <c r="AB1473" i="1"/>
  <c r="Z1473" i="1"/>
  <c r="O1473" i="1"/>
  <c r="BF1473" i="1" s="1"/>
  <c r="L1473" i="1"/>
  <c r="AL1473" i="1" s="1"/>
  <c r="BW1458" i="1"/>
  <c r="BJ1458" i="1"/>
  <c r="BD1458" i="1"/>
  <c r="AP1458" i="1"/>
  <c r="AX1458" i="1" s="1"/>
  <c r="AO1458" i="1"/>
  <c r="AW1458" i="1" s="1"/>
  <c r="AK1458" i="1"/>
  <c r="AJ1458" i="1"/>
  <c r="AH1458" i="1"/>
  <c r="AG1458" i="1"/>
  <c r="AF1458" i="1"/>
  <c r="AC1458" i="1"/>
  <c r="AB1458" i="1"/>
  <c r="Z1458" i="1"/>
  <c r="O1458" i="1"/>
  <c r="BF1458" i="1" s="1"/>
  <c r="L1458" i="1"/>
  <c r="AL1458" i="1" s="1"/>
  <c r="K1458" i="1"/>
  <c r="BW1455" i="1"/>
  <c r="BJ1455" i="1"/>
  <c r="BD1455" i="1"/>
  <c r="AP1455" i="1"/>
  <c r="BI1455" i="1" s="1"/>
  <c r="AE1455" i="1" s="1"/>
  <c r="AO1455" i="1"/>
  <c r="BH1455" i="1" s="1"/>
  <c r="AD1455" i="1" s="1"/>
  <c r="AK1455" i="1"/>
  <c r="AJ1455" i="1"/>
  <c r="AH1455" i="1"/>
  <c r="AG1455" i="1"/>
  <c r="AF1455" i="1"/>
  <c r="AC1455" i="1"/>
  <c r="AB1455" i="1"/>
  <c r="Z1455" i="1"/>
  <c r="O1455" i="1"/>
  <c r="BF1455" i="1" s="1"/>
  <c r="L1455" i="1"/>
  <c r="AL1455" i="1" s="1"/>
  <c r="BW1452" i="1"/>
  <c r="BJ1452" i="1"/>
  <c r="BD1452" i="1"/>
  <c r="AP1452" i="1"/>
  <c r="K1452" i="1" s="1"/>
  <c r="AO1452" i="1"/>
  <c r="AW1452" i="1" s="1"/>
  <c r="AK1452" i="1"/>
  <c r="AJ1452" i="1"/>
  <c r="AH1452" i="1"/>
  <c r="AG1452" i="1"/>
  <c r="AF1452" i="1"/>
  <c r="AC1452" i="1"/>
  <c r="AB1452" i="1"/>
  <c r="Z1452" i="1"/>
  <c r="O1452" i="1"/>
  <c r="BF1452" i="1" s="1"/>
  <c r="L1452" i="1"/>
  <c r="AL1452" i="1" s="1"/>
  <c r="BW1447" i="1"/>
  <c r="BJ1447" i="1"/>
  <c r="BD1447" i="1"/>
  <c r="AP1447" i="1"/>
  <c r="AX1447" i="1" s="1"/>
  <c r="AO1447" i="1"/>
  <c r="AW1447" i="1" s="1"/>
  <c r="AK1447" i="1"/>
  <c r="AJ1447" i="1"/>
  <c r="AH1447" i="1"/>
  <c r="AG1447" i="1"/>
  <c r="AF1447" i="1"/>
  <c r="AC1447" i="1"/>
  <c r="AB1447" i="1"/>
  <c r="Z1447" i="1"/>
  <c r="O1447" i="1"/>
  <c r="BF1447" i="1" s="1"/>
  <c r="L1447" i="1"/>
  <c r="AL1447" i="1" s="1"/>
  <c r="K1447" i="1"/>
  <c r="BW1439" i="1"/>
  <c r="BJ1439" i="1"/>
  <c r="BD1439" i="1"/>
  <c r="AP1439" i="1"/>
  <c r="BI1439" i="1" s="1"/>
  <c r="AE1439" i="1" s="1"/>
  <c r="AO1439" i="1"/>
  <c r="BH1439" i="1" s="1"/>
  <c r="AD1439" i="1" s="1"/>
  <c r="AK1439" i="1"/>
  <c r="AJ1439" i="1"/>
  <c r="AH1439" i="1"/>
  <c r="AG1439" i="1"/>
  <c r="AF1439" i="1"/>
  <c r="AC1439" i="1"/>
  <c r="AB1439" i="1"/>
  <c r="Z1439" i="1"/>
  <c r="O1439" i="1"/>
  <c r="BF1439" i="1" s="1"/>
  <c r="L1439" i="1"/>
  <c r="AL1439" i="1" s="1"/>
  <c r="BW1430" i="1"/>
  <c r="BJ1430" i="1"/>
  <c r="BD1430" i="1"/>
  <c r="AP1430" i="1"/>
  <c r="BI1430" i="1" s="1"/>
  <c r="AE1430" i="1" s="1"/>
  <c r="AO1430" i="1"/>
  <c r="J1430" i="1" s="1"/>
  <c r="AK1430" i="1"/>
  <c r="AJ1430" i="1"/>
  <c r="AH1430" i="1"/>
  <c r="AG1430" i="1"/>
  <c r="AF1430" i="1"/>
  <c r="AC1430" i="1"/>
  <c r="AB1430" i="1"/>
  <c r="Z1430" i="1"/>
  <c r="O1430" i="1"/>
  <c r="BF1430" i="1" s="1"/>
  <c r="L1430" i="1"/>
  <c r="AL1430" i="1" s="1"/>
  <c r="BW1423" i="1"/>
  <c r="BJ1423" i="1"/>
  <c r="BD1423" i="1"/>
  <c r="AP1423" i="1"/>
  <c r="AX1423" i="1" s="1"/>
  <c r="AO1423" i="1"/>
  <c r="AW1423" i="1" s="1"/>
  <c r="AK1423" i="1"/>
  <c r="AJ1423" i="1"/>
  <c r="AH1423" i="1"/>
  <c r="AG1423" i="1"/>
  <c r="AF1423" i="1"/>
  <c r="AC1423" i="1"/>
  <c r="AB1423" i="1"/>
  <c r="Z1423" i="1"/>
  <c r="O1423" i="1"/>
  <c r="BF1423" i="1" s="1"/>
  <c r="L1423" i="1"/>
  <c r="AL1423" i="1" s="1"/>
  <c r="BW1415" i="1"/>
  <c r="BJ1415" i="1"/>
  <c r="BD1415" i="1"/>
  <c r="AP1415" i="1"/>
  <c r="BI1415" i="1" s="1"/>
  <c r="AE1415" i="1" s="1"/>
  <c r="AO1415" i="1"/>
  <c r="BH1415" i="1" s="1"/>
  <c r="AD1415" i="1" s="1"/>
  <c r="AK1415" i="1"/>
  <c r="AJ1415" i="1"/>
  <c r="AH1415" i="1"/>
  <c r="AG1415" i="1"/>
  <c r="AF1415" i="1"/>
  <c r="AC1415" i="1"/>
  <c r="AB1415" i="1"/>
  <c r="Z1415" i="1"/>
  <c r="O1415" i="1"/>
  <c r="BF1415" i="1" s="1"/>
  <c r="L1415" i="1"/>
  <c r="AL1415" i="1" s="1"/>
  <c r="BW1395" i="1"/>
  <c r="BJ1395" i="1"/>
  <c r="BD1395" i="1"/>
  <c r="AP1395" i="1"/>
  <c r="K1395" i="1" s="1"/>
  <c r="AO1395" i="1"/>
  <c r="BH1395" i="1" s="1"/>
  <c r="AD1395" i="1" s="1"/>
  <c r="AK1395" i="1"/>
  <c r="AJ1395" i="1"/>
  <c r="AH1395" i="1"/>
  <c r="AG1395" i="1"/>
  <c r="AF1395" i="1"/>
  <c r="AC1395" i="1"/>
  <c r="AB1395" i="1"/>
  <c r="Z1395" i="1"/>
  <c r="O1395" i="1"/>
  <c r="BF1395" i="1" s="1"/>
  <c r="L1395" i="1"/>
  <c r="AL1395" i="1" s="1"/>
  <c r="BW1392" i="1"/>
  <c r="BJ1392" i="1"/>
  <c r="BD1392" i="1"/>
  <c r="AP1392" i="1"/>
  <c r="AX1392" i="1" s="1"/>
  <c r="AO1392" i="1"/>
  <c r="AW1392" i="1" s="1"/>
  <c r="AK1392" i="1"/>
  <c r="AJ1392" i="1"/>
  <c r="AH1392" i="1"/>
  <c r="AG1392" i="1"/>
  <c r="AF1392" i="1"/>
  <c r="AC1392" i="1"/>
  <c r="AB1392" i="1"/>
  <c r="Z1392" i="1"/>
  <c r="O1392" i="1"/>
  <c r="BF1392" i="1" s="1"/>
  <c r="L1392" i="1"/>
  <c r="AL1392" i="1" s="1"/>
  <c r="BW1388" i="1"/>
  <c r="BJ1388" i="1"/>
  <c r="BD1388" i="1"/>
  <c r="AP1388" i="1"/>
  <c r="BI1388" i="1" s="1"/>
  <c r="AE1388" i="1" s="1"/>
  <c r="AO1388" i="1"/>
  <c r="BH1388" i="1" s="1"/>
  <c r="AD1388" i="1" s="1"/>
  <c r="AK1388" i="1"/>
  <c r="AJ1388" i="1"/>
  <c r="AH1388" i="1"/>
  <c r="AG1388" i="1"/>
  <c r="AF1388" i="1"/>
  <c r="AC1388" i="1"/>
  <c r="AB1388" i="1"/>
  <c r="Z1388" i="1"/>
  <c r="O1388" i="1"/>
  <c r="BF1388" i="1" s="1"/>
  <c r="L1388" i="1"/>
  <c r="AL1388" i="1" s="1"/>
  <c r="BW2102" i="1"/>
  <c r="BJ2102" i="1"/>
  <c r="Z2102" i="1" s="1"/>
  <c r="BD2102" i="1"/>
  <c r="AP2102" i="1"/>
  <c r="BI2102" i="1" s="1"/>
  <c r="AO2102" i="1"/>
  <c r="BH2102" i="1" s="1"/>
  <c r="AK2102" i="1"/>
  <c r="AJ2102" i="1"/>
  <c r="AH2102" i="1"/>
  <c r="AG2102" i="1"/>
  <c r="AF2102" i="1"/>
  <c r="AE2102" i="1"/>
  <c r="AD2102" i="1"/>
  <c r="AC2102" i="1"/>
  <c r="AB2102" i="1"/>
  <c r="O2102" i="1"/>
  <c r="BF2102" i="1" s="1"/>
  <c r="L2102" i="1"/>
  <c r="AL2102" i="1" s="1"/>
  <c r="BW2100" i="1"/>
  <c r="BJ2100" i="1"/>
  <c r="BD2100" i="1"/>
  <c r="AP2100" i="1"/>
  <c r="K2100" i="1" s="1"/>
  <c r="AO2100" i="1"/>
  <c r="AW2100" i="1" s="1"/>
  <c r="AK2100" i="1"/>
  <c r="AJ2100" i="1"/>
  <c r="AH2100" i="1"/>
  <c r="AG2100" i="1"/>
  <c r="AF2100" i="1"/>
  <c r="AC2100" i="1"/>
  <c r="AB2100" i="1"/>
  <c r="Z2100" i="1"/>
  <c r="O2100" i="1"/>
  <c r="BF2100" i="1" s="1"/>
  <c r="L2100" i="1"/>
  <c r="AL2100" i="1" s="1"/>
  <c r="BW2098" i="1"/>
  <c r="BJ2098" i="1"/>
  <c r="BD2098" i="1"/>
  <c r="AP2098" i="1"/>
  <c r="AX2098" i="1" s="1"/>
  <c r="AO2098" i="1"/>
  <c r="AW2098" i="1" s="1"/>
  <c r="AK2098" i="1"/>
  <c r="AJ2098" i="1"/>
  <c r="AH2098" i="1"/>
  <c r="AG2098" i="1"/>
  <c r="AF2098" i="1"/>
  <c r="AC2098" i="1"/>
  <c r="AB2098" i="1"/>
  <c r="Z2098" i="1"/>
  <c r="O2098" i="1"/>
  <c r="BF2098" i="1" s="1"/>
  <c r="L2098" i="1"/>
  <c r="AL2098" i="1" s="1"/>
  <c r="BW2096" i="1"/>
  <c r="BJ2096" i="1"/>
  <c r="BD2096" i="1"/>
  <c r="AP2096" i="1"/>
  <c r="BI2096" i="1" s="1"/>
  <c r="AE2096" i="1" s="1"/>
  <c r="AO2096" i="1"/>
  <c r="BH2096" i="1" s="1"/>
  <c r="AD2096" i="1" s="1"/>
  <c r="AK2096" i="1"/>
  <c r="AJ2096" i="1"/>
  <c r="AH2096" i="1"/>
  <c r="AG2096" i="1"/>
  <c r="AF2096" i="1"/>
  <c r="AC2096" i="1"/>
  <c r="AB2096" i="1"/>
  <c r="Z2096" i="1"/>
  <c r="O2096" i="1"/>
  <c r="BF2096" i="1" s="1"/>
  <c r="L2096" i="1"/>
  <c r="AL2096" i="1" s="1"/>
  <c r="BW2093" i="1"/>
  <c r="BJ2093" i="1"/>
  <c r="BD2093" i="1"/>
  <c r="AP2093" i="1"/>
  <c r="K2093" i="1" s="1"/>
  <c r="AO2093" i="1"/>
  <c r="AW2093" i="1" s="1"/>
  <c r="AK2093" i="1"/>
  <c r="AJ2093" i="1"/>
  <c r="AH2093" i="1"/>
  <c r="AG2093" i="1"/>
  <c r="AF2093" i="1"/>
  <c r="AC2093" i="1"/>
  <c r="AB2093" i="1"/>
  <c r="Z2093" i="1"/>
  <c r="O2093" i="1"/>
  <c r="BF2093" i="1" s="1"/>
  <c r="L2093" i="1"/>
  <c r="AL2093" i="1" s="1"/>
  <c r="BW2075" i="1"/>
  <c r="BJ2075" i="1"/>
  <c r="BD2075" i="1"/>
  <c r="AP2075" i="1"/>
  <c r="AX2075" i="1" s="1"/>
  <c r="AO2075" i="1"/>
  <c r="AW2075" i="1" s="1"/>
  <c r="AK2075" i="1"/>
  <c r="AJ2075" i="1"/>
  <c r="AH2075" i="1"/>
  <c r="AG2075" i="1"/>
  <c r="AF2075" i="1"/>
  <c r="AC2075" i="1"/>
  <c r="AB2075" i="1"/>
  <c r="Z2075" i="1"/>
  <c r="O2075" i="1"/>
  <c r="BF2075" i="1" s="1"/>
  <c r="L2075" i="1"/>
  <c r="AL2075" i="1" s="1"/>
  <c r="BW2071" i="1"/>
  <c r="BJ2071" i="1"/>
  <c r="BD2071" i="1"/>
  <c r="AP2071" i="1"/>
  <c r="BI2071" i="1" s="1"/>
  <c r="AE2071" i="1" s="1"/>
  <c r="AO2071" i="1"/>
  <c r="BH2071" i="1" s="1"/>
  <c r="AD2071" i="1" s="1"/>
  <c r="AK2071" i="1"/>
  <c r="AJ2071" i="1"/>
  <c r="AH2071" i="1"/>
  <c r="AG2071" i="1"/>
  <c r="AF2071" i="1"/>
  <c r="AC2071" i="1"/>
  <c r="AB2071" i="1"/>
  <c r="Z2071" i="1"/>
  <c r="O2071" i="1"/>
  <c r="BF2071" i="1" s="1"/>
  <c r="L2071" i="1"/>
  <c r="AL2071" i="1" s="1"/>
  <c r="BW2067" i="1"/>
  <c r="BJ2067" i="1"/>
  <c r="BD2067" i="1"/>
  <c r="AP2067" i="1"/>
  <c r="BI2067" i="1" s="1"/>
  <c r="AE2067" i="1" s="1"/>
  <c r="AO2067" i="1"/>
  <c r="AW2067" i="1" s="1"/>
  <c r="AK2067" i="1"/>
  <c r="AJ2067" i="1"/>
  <c r="AH2067" i="1"/>
  <c r="AG2067" i="1"/>
  <c r="AF2067" i="1"/>
  <c r="AC2067" i="1"/>
  <c r="AB2067" i="1"/>
  <c r="Z2067" i="1"/>
  <c r="O2067" i="1"/>
  <c r="BF2067" i="1" s="1"/>
  <c r="L2067" i="1"/>
  <c r="AL2067" i="1" s="1"/>
  <c r="BW2062" i="1"/>
  <c r="BJ2062" i="1"/>
  <c r="BD2062" i="1"/>
  <c r="AP2062" i="1"/>
  <c r="AX2062" i="1" s="1"/>
  <c r="AO2062" i="1"/>
  <c r="AW2062" i="1" s="1"/>
  <c r="AK2062" i="1"/>
  <c r="AJ2062" i="1"/>
  <c r="AH2062" i="1"/>
  <c r="AG2062" i="1"/>
  <c r="AF2062" i="1"/>
  <c r="AC2062" i="1"/>
  <c r="AB2062" i="1"/>
  <c r="Z2062" i="1"/>
  <c r="O2062" i="1"/>
  <c r="BF2062" i="1" s="1"/>
  <c r="L2062" i="1"/>
  <c r="BW2057" i="1"/>
  <c r="BJ2057" i="1"/>
  <c r="BD2057" i="1"/>
  <c r="AP2057" i="1"/>
  <c r="BI2057" i="1" s="1"/>
  <c r="AE2057" i="1" s="1"/>
  <c r="AO2057" i="1"/>
  <c r="BH2057" i="1" s="1"/>
  <c r="AD2057" i="1" s="1"/>
  <c r="AK2057" i="1"/>
  <c r="AJ2057" i="1"/>
  <c r="AH2057" i="1"/>
  <c r="AG2057" i="1"/>
  <c r="AF2057" i="1"/>
  <c r="AC2057" i="1"/>
  <c r="AB2057" i="1"/>
  <c r="Z2057" i="1"/>
  <c r="O2057" i="1"/>
  <c r="BF2057" i="1" s="1"/>
  <c r="L2057" i="1"/>
  <c r="AL2057" i="1" s="1"/>
  <c r="BW2054" i="1"/>
  <c r="BJ2054" i="1"/>
  <c r="BD2054" i="1"/>
  <c r="AP2054" i="1"/>
  <c r="BI2054" i="1" s="1"/>
  <c r="AE2054" i="1" s="1"/>
  <c r="AO2054" i="1"/>
  <c r="AW2054" i="1" s="1"/>
  <c r="AK2054" i="1"/>
  <c r="AJ2054" i="1"/>
  <c r="AH2054" i="1"/>
  <c r="AG2054" i="1"/>
  <c r="AF2054" i="1"/>
  <c r="AC2054" i="1"/>
  <c r="AB2054" i="1"/>
  <c r="Z2054" i="1"/>
  <c r="O2054" i="1"/>
  <c r="BF2054" i="1" s="1"/>
  <c r="L2054" i="1"/>
  <c r="AL2054" i="1" s="1"/>
  <c r="BW2045" i="1"/>
  <c r="BJ2045" i="1"/>
  <c r="BD2045" i="1"/>
  <c r="AP2045" i="1"/>
  <c r="AX2045" i="1" s="1"/>
  <c r="AO2045" i="1"/>
  <c r="AW2045" i="1" s="1"/>
  <c r="AK2045" i="1"/>
  <c r="AJ2045" i="1"/>
  <c r="AH2045" i="1"/>
  <c r="AG2045" i="1"/>
  <c r="AF2045" i="1"/>
  <c r="AC2045" i="1"/>
  <c r="AB2045" i="1"/>
  <c r="Z2045" i="1"/>
  <c r="O2045" i="1"/>
  <c r="BF2045" i="1" s="1"/>
  <c r="L2045" i="1"/>
  <c r="BW2034" i="1"/>
  <c r="BJ2034" i="1"/>
  <c r="BD2034" i="1"/>
  <c r="AP2034" i="1"/>
  <c r="BI2034" i="1" s="1"/>
  <c r="AE2034" i="1" s="1"/>
  <c r="AO2034" i="1"/>
  <c r="BH2034" i="1" s="1"/>
  <c r="AD2034" i="1" s="1"/>
  <c r="AK2034" i="1"/>
  <c r="AJ2034" i="1"/>
  <c r="AH2034" i="1"/>
  <c r="AG2034" i="1"/>
  <c r="AF2034" i="1"/>
  <c r="AC2034" i="1"/>
  <c r="AB2034" i="1"/>
  <c r="Z2034" i="1"/>
  <c r="O2034" i="1"/>
  <c r="BF2034" i="1" s="1"/>
  <c r="L2034" i="1"/>
  <c r="AL2034" i="1" s="1"/>
  <c r="L2104" i="1"/>
  <c r="O2104" i="1"/>
  <c r="BF2104" i="1" s="1"/>
  <c r="Z2104" i="1"/>
  <c r="AB2104" i="1"/>
  <c r="AC2104" i="1"/>
  <c r="AF2104" i="1"/>
  <c r="AG2104" i="1"/>
  <c r="AH2104" i="1"/>
  <c r="AJ2104" i="1"/>
  <c r="AK2104" i="1"/>
  <c r="AO2104" i="1"/>
  <c r="J2104" i="1" s="1"/>
  <c r="AP2104" i="1"/>
  <c r="BI2104" i="1" s="1"/>
  <c r="AE2104" i="1" s="1"/>
  <c r="BD2104" i="1"/>
  <c r="BJ2104" i="1"/>
  <c r="BW2104" i="1"/>
  <c r="BW2809" i="1"/>
  <c r="BJ2809" i="1"/>
  <c r="BD2809" i="1"/>
  <c r="AP2809" i="1"/>
  <c r="BI2809" i="1" s="1"/>
  <c r="AC2809" i="1" s="1"/>
  <c r="AO2809" i="1"/>
  <c r="BH2809" i="1" s="1"/>
  <c r="AB2809" i="1" s="1"/>
  <c r="AK2809" i="1"/>
  <c r="AJ2809" i="1"/>
  <c r="AH2809" i="1"/>
  <c r="AG2809" i="1"/>
  <c r="AF2809" i="1"/>
  <c r="AE2809" i="1"/>
  <c r="AD2809" i="1"/>
  <c r="Z2809" i="1"/>
  <c r="O2809" i="1"/>
  <c r="BF2809" i="1" s="1"/>
  <c r="L2809" i="1"/>
  <c r="AL2809" i="1" s="1"/>
  <c r="BW2807" i="1"/>
  <c r="BJ2807" i="1"/>
  <c r="BD2807" i="1"/>
  <c r="AP2807" i="1"/>
  <c r="AX2807" i="1" s="1"/>
  <c r="AO2807" i="1"/>
  <c r="AW2807" i="1" s="1"/>
  <c r="AK2807" i="1"/>
  <c r="AJ2807" i="1"/>
  <c r="AH2807" i="1"/>
  <c r="AG2807" i="1"/>
  <c r="AF2807" i="1"/>
  <c r="AE2807" i="1"/>
  <c r="AD2807" i="1"/>
  <c r="Z2807" i="1"/>
  <c r="O2807" i="1"/>
  <c r="BF2807" i="1" s="1"/>
  <c r="L2807" i="1"/>
  <c r="BW2805" i="1"/>
  <c r="BJ2805" i="1"/>
  <c r="BD2805" i="1"/>
  <c r="AP2805" i="1"/>
  <c r="AX2805" i="1" s="1"/>
  <c r="AO2805" i="1"/>
  <c r="BH2805" i="1" s="1"/>
  <c r="AB2805" i="1" s="1"/>
  <c r="AK2805" i="1"/>
  <c r="AJ2805" i="1"/>
  <c r="AH2805" i="1"/>
  <c r="AG2805" i="1"/>
  <c r="AF2805" i="1"/>
  <c r="AE2805" i="1"/>
  <c r="AD2805" i="1"/>
  <c r="Z2805" i="1"/>
  <c r="O2805" i="1"/>
  <c r="BF2805" i="1" s="1"/>
  <c r="L2805" i="1"/>
  <c r="AL2805" i="1" s="1"/>
  <c r="BW2803" i="1"/>
  <c r="BJ2803" i="1"/>
  <c r="BD2803" i="1"/>
  <c r="AP2803" i="1"/>
  <c r="BI2803" i="1" s="1"/>
  <c r="AC2803" i="1" s="1"/>
  <c r="AO2803" i="1"/>
  <c r="AK2803" i="1"/>
  <c r="AJ2803" i="1"/>
  <c r="AH2803" i="1"/>
  <c r="AG2803" i="1"/>
  <c r="AF2803" i="1"/>
  <c r="AE2803" i="1"/>
  <c r="AD2803" i="1"/>
  <c r="Z2803" i="1"/>
  <c r="O2803" i="1"/>
  <c r="BF2803" i="1" s="1"/>
  <c r="L2803" i="1"/>
  <c r="AL2803" i="1" s="1"/>
  <c r="BW2801" i="1"/>
  <c r="BJ2801" i="1"/>
  <c r="BD2801" i="1"/>
  <c r="AP2801" i="1"/>
  <c r="K2801" i="1" s="1"/>
  <c r="AO2801" i="1"/>
  <c r="AW2801" i="1" s="1"/>
  <c r="AK2801" i="1"/>
  <c r="AJ2801" i="1"/>
  <c r="AH2801" i="1"/>
  <c r="AG2801" i="1"/>
  <c r="AF2801" i="1"/>
  <c r="AE2801" i="1"/>
  <c r="AD2801" i="1"/>
  <c r="Z2801" i="1"/>
  <c r="O2801" i="1"/>
  <c r="L2801" i="1"/>
  <c r="F44" i="4"/>
  <c r="I44" i="4" s="1"/>
  <c r="F42" i="4"/>
  <c r="I42" i="4" s="1"/>
  <c r="F36" i="4"/>
  <c r="I36" i="4" s="1"/>
  <c r="I26" i="4"/>
  <c r="I25" i="4"/>
  <c r="I24" i="4"/>
  <c r="I17" i="3" s="1"/>
  <c r="I23" i="4"/>
  <c r="I22" i="4"/>
  <c r="I21" i="4"/>
  <c r="I17" i="4"/>
  <c r="I16" i="4"/>
  <c r="F15" i="3" s="1"/>
  <c r="I15" i="4"/>
  <c r="I18" i="4" s="1"/>
  <c r="I10" i="4"/>
  <c r="F10" i="4"/>
  <c r="C10" i="4"/>
  <c r="F8" i="4"/>
  <c r="C8" i="4"/>
  <c r="F6" i="4"/>
  <c r="C6" i="4"/>
  <c r="F4" i="4"/>
  <c r="C4" i="4"/>
  <c r="F2" i="4"/>
  <c r="C2" i="4"/>
  <c r="I19" i="3"/>
  <c r="I16" i="3"/>
  <c r="F16" i="3"/>
  <c r="I15" i="3"/>
  <c r="I14" i="3"/>
  <c r="F14" i="3"/>
  <c r="F22" i="3" s="1"/>
  <c r="F10" i="3"/>
  <c r="C10" i="3"/>
  <c r="F8" i="3"/>
  <c r="C8" i="3"/>
  <c r="F6" i="3"/>
  <c r="C6" i="3"/>
  <c r="F4" i="3"/>
  <c r="C4" i="3"/>
  <c r="F2" i="3"/>
  <c r="C2" i="3"/>
  <c r="I96" i="2"/>
  <c r="I94" i="2"/>
  <c r="I86" i="2"/>
  <c r="I78" i="2"/>
  <c r="I77" i="2"/>
  <c r="I75" i="2"/>
  <c r="I67" i="2"/>
  <c r="I66" i="2"/>
  <c r="I64" i="2"/>
  <c r="I35" i="2"/>
  <c r="I12" i="2"/>
  <c r="I11" i="2"/>
  <c r="G8" i="2"/>
  <c r="C8" i="2"/>
  <c r="G6" i="2"/>
  <c r="C6" i="2"/>
  <c r="G4" i="2"/>
  <c r="C4" i="2"/>
  <c r="G2" i="2"/>
  <c r="C2" i="2"/>
  <c r="BW2852" i="1"/>
  <c r="BJ2852" i="1"/>
  <c r="BD2852" i="1"/>
  <c r="AP2852" i="1"/>
  <c r="AX2852" i="1" s="1"/>
  <c r="AO2852" i="1"/>
  <c r="BH2852" i="1" s="1"/>
  <c r="AF2852" i="1" s="1"/>
  <c r="AK2852" i="1"/>
  <c r="AJ2852" i="1"/>
  <c r="AH2852" i="1"/>
  <c r="AE2852" i="1"/>
  <c r="AD2852" i="1"/>
  <c r="AC2852" i="1"/>
  <c r="AB2852" i="1"/>
  <c r="Z2852" i="1"/>
  <c r="O2852" i="1"/>
  <c r="BF2852" i="1" s="1"/>
  <c r="L2852" i="1"/>
  <c r="AL2852" i="1" s="1"/>
  <c r="BW2851" i="1"/>
  <c r="BJ2851" i="1"/>
  <c r="BD2851" i="1"/>
  <c r="AP2851" i="1"/>
  <c r="BI2851" i="1" s="1"/>
  <c r="AG2851" i="1" s="1"/>
  <c r="AO2851" i="1"/>
  <c r="AW2851" i="1" s="1"/>
  <c r="AK2851" i="1"/>
  <c r="AJ2851" i="1"/>
  <c r="AH2851" i="1"/>
  <c r="AE2851" i="1"/>
  <c r="AD2851" i="1"/>
  <c r="AC2851" i="1"/>
  <c r="AB2851" i="1"/>
  <c r="Z2851" i="1"/>
  <c r="O2851" i="1"/>
  <c r="L2851" i="1"/>
  <c r="BW2848" i="1"/>
  <c r="BJ2848" i="1"/>
  <c r="BD2848" i="1"/>
  <c r="AP2848" i="1"/>
  <c r="AO2848" i="1"/>
  <c r="AK2848" i="1"/>
  <c r="AT2847" i="1" s="1"/>
  <c r="AJ2848" i="1"/>
  <c r="AS2847" i="1" s="1"/>
  <c r="AH2848" i="1"/>
  <c r="AG2848" i="1"/>
  <c r="AF2848" i="1"/>
  <c r="AC2848" i="1"/>
  <c r="AB2848" i="1"/>
  <c r="Z2848" i="1"/>
  <c r="O2848" i="1"/>
  <c r="O2847" i="1" s="1"/>
  <c r="O2846" i="1" s="1"/>
  <c r="G94" i="2" s="1"/>
  <c r="L2848" i="1"/>
  <c r="L2847" i="1" s="1"/>
  <c r="L2846" i="1" s="1"/>
  <c r="F94" i="2" s="1"/>
  <c r="BW2845" i="1"/>
  <c r="BU2845" i="1"/>
  <c r="F43" i="4" s="1"/>
  <c r="I43" i="4" s="1"/>
  <c r="BJ2845" i="1"/>
  <c r="BD2845" i="1"/>
  <c r="AP2845" i="1"/>
  <c r="AX2845" i="1" s="1"/>
  <c r="AO2845" i="1"/>
  <c r="BH2845" i="1" s="1"/>
  <c r="AK2845" i="1"/>
  <c r="AT2844" i="1" s="1"/>
  <c r="AJ2845" i="1"/>
  <c r="AS2844" i="1" s="1"/>
  <c r="AH2845" i="1"/>
  <c r="AG2845" i="1"/>
  <c r="AF2845" i="1"/>
  <c r="AE2845" i="1"/>
  <c r="AD2845" i="1"/>
  <c r="AC2845" i="1"/>
  <c r="AB2845" i="1"/>
  <c r="Z2845" i="1"/>
  <c r="O2845" i="1"/>
  <c r="BF2845" i="1" s="1"/>
  <c r="L2845" i="1"/>
  <c r="L2844" i="1" s="1"/>
  <c r="F93" i="2" s="1"/>
  <c r="I93" i="2" s="1"/>
  <c r="BW2843" i="1"/>
  <c r="BS2843" i="1"/>
  <c r="F41" i="4" s="1"/>
  <c r="I41" i="4" s="1"/>
  <c r="BJ2843" i="1"/>
  <c r="BD2843" i="1"/>
  <c r="AP2843" i="1"/>
  <c r="BI2843" i="1" s="1"/>
  <c r="AO2843" i="1"/>
  <c r="AW2843" i="1" s="1"/>
  <c r="AK2843" i="1"/>
  <c r="AJ2843" i="1"/>
  <c r="AS2842" i="1" s="1"/>
  <c r="AH2843" i="1"/>
  <c r="AG2843" i="1"/>
  <c r="AF2843" i="1"/>
  <c r="AE2843" i="1"/>
  <c r="AD2843" i="1"/>
  <c r="AC2843" i="1"/>
  <c r="AB2843" i="1"/>
  <c r="Z2843" i="1"/>
  <c r="O2843" i="1"/>
  <c r="L2843" i="1"/>
  <c r="AT2842" i="1"/>
  <c r="BW2841" i="1"/>
  <c r="BR2841" i="1"/>
  <c r="BJ2841" i="1"/>
  <c r="BD2841" i="1"/>
  <c r="AP2841" i="1"/>
  <c r="AO2841" i="1"/>
  <c r="J2841" i="1" s="1"/>
  <c r="AK2841" i="1"/>
  <c r="AJ2841" i="1"/>
  <c r="AH2841" i="1"/>
  <c r="AG2841" i="1"/>
  <c r="AF2841" i="1"/>
  <c r="AE2841" i="1"/>
  <c r="AD2841" i="1"/>
  <c r="AC2841" i="1"/>
  <c r="AB2841" i="1"/>
  <c r="Z2841" i="1"/>
  <c r="O2841" i="1"/>
  <c r="BF2841" i="1" s="1"/>
  <c r="L2841" i="1"/>
  <c r="AL2841" i="1" s="1"/>
  <c r="BW2840" i="1"/>
  <c r="BR2840" i="1"/>
  <c r="BJ2840" i="1"/>
  <c r="BD2840" i="1"/>
  <c r="AP2840" i="1"/>
  <c r="AX2840" i="1" s="1"/>
  <c r="AO2840" i="1"/>
  <c r="AW2840" i="1" s="1"/>
  <c r="AK2840" i="1"/>
  <c r="AJ2840" i="1"/>
  <c r="AH2840" i="1"/>
  <c r="AG2840" i="1"/>
  <c r="AF2840" i="1"/>
  <c r="AE2840" i="1"/>
  <c r="AD2840" i="1"/>
  <c r="AC2840" i="1"/>
  <c r="AB2840" i="1"/>
  <c r="Z2840" i="1"/>
  <c r="O2840" i="1"/>
  <c r="BF2840" i="1" s="1"/>
  <c r="L2840" i="1"/>
  <c r="AL2840" i="1" s="1"/>
  <c r="BW2838" i="1"/>
  <c r="BQ2838" i="1"/>
  <c r="F39" i="4" s="1"/>
  <c r="I39" i="4" s="1"/>
  <c r="BJ2838" i="1"/>
  <c r="BD2838" i="1"/>
  <c r="AP2838" i="1"/>
  <c r="AX2838" i="1" s="1"/>
  <c r="AO2838" i="1"/>
  <c r="AW2838" i="1" s="1"/>
  <c r="AK2838" i="1"/>
  <c r="AT2837" i="1" s="1"/>
  <c r="AJ2838" i="1"/>
  <c r="AS2837" i="1" s="1"/>
  <c r="AH2838" i="1"/>
  <c r="AG2838" i="1"/>
  <c r="AF2838" i="1"/>
  <c r="AE2838" i="1"/>
  <c r="AD2838" i="1"/>
  <c r="AC2838" i="1"/>
  <c r="AB2838" i="1"/>
  <c r="Z2838" i="1"/>
  <c r="O2838" i="1"/>
  <c r="O2837" i="1" s="1"/>
  <c r="G90" i="2" s="1"/>
  <c r="L2838" i="1"/>
  <c r="AL2838" i="1" s="1"/>
  <c r="AU2837" i="1" s="1"/>
  <c r="K2838" i="1"/>
  <c r="K2837" i="1" s="1"/>
  <c r="E90" i="2" s="1"/>
  <c r="BW2836" i="1"/>
  <c r="BP2836" i="1"/>
  <c r="BJ2836" i="1"/>
  <c r="BD2836" i="1"/>
  <c r="AP2836" i="1"/>
  <c r="AX2836" i="1" s="1"/>
  <c r="AO2836" i="1"/>
  <c r="BH2836" i="1" s="1"/>
  <c r="AK2836" i="1"/>
  <c r="AJ2836" i="1"/>
  <c r="AH2836" i="1"/>
  <c r="AG2836" i="1"/>
  <c r="AF2836" i="1"/>
  <c r="AE2836" i="1"/>
  <c r="AD2836" i="1"/>
  <c r="AC2836" i="1"/>
  <c r="AB2836" i="1"/>
  <c r="Z2836" i="1"/>
  <c r="O2836" i="1"/>
  <c r="L2836" i="1"/>
  <c r="BW2835" i="1"/>
  <c r="BP2835" i="1"/>
  <c r="BJ2835" i="1"/>
  <c r="BD2835" i="1"/>
  <c r="AP2835" i="1"/>
  <c r="AX2835" i="1" s="1"/>
  <c r="AO2835" i="1"/>
  <c r="BH2835" i="1" s="1"/>
  <c r="AK2835" i="1"/>
  <c r="AJ2835" i="1"/>
  <c r="AH2835" i="1"/>
  <c r="AG2835" i="1"/>
  <c r="AF2835" i="1"/>
  <c r="AE2835" i="1"/>
  <c r="AD2835" i="1"/>
  <c r="AC2835" i="1"/>
  <c r="AB2835" i="1"/>
  <c r="Z2835" i="1"/>
  <c r="O2835" i="1"/>
  <c r="BF2835" i="1" s="1"/>
  <c r="L2835" i="1"/>
  <c r="AL2835" i="1" s="1"/>
  <c r="BW2832" i="1"/>
  <c r="BO2832" i="1"/>
  <c r="F37" i="4" s="1"/>
  <c r="I37" i="4" s="1"/>
  <c r="BJ2832" i="1"/>
  <c r="BD2832" i="1"/>
  <c r="AP2832" i="1"/>
  <c r="AX2832" i="1" s="1"/>
  <c r="AO2832" i="1"/>
  <c r="AW2832" i="1" s="1"/>
  <c r="AK2832" i="1"/>
  <c r="AT2831" i="1" s="1"/>
  <c r="AJ2832" i="1"/>
  <c r="AS2831" i="1" s="1"/>
  <c r="AH2832" i="1"/>
  <c r="AG2832" i="1"/>
  <c r="AF2832" i="1"/>
  <c r="AE2832" i="1"/>
  <c r="AD2832" i="1"/>
  <c r="AC2832" i="1"/>
  <c r="AB2832" i="1"/>
  <c r="Z2832" i="1"/>
  <c r="O2832" i="1"/>
  <c r="BF2832" i="1" s="1"/>
  <c r="L2832" i="1"/>
  <c r="L2831" i="1" s="1"/>
  <c r="F88" i="2" s="1"/>
  <c r="I88" i="2" s="1"/>
  <c r="BW2830" i="1"/>
  <c r="BM2830" i="1"/>
  <c r="BJ2830" i="1"/>
  <c r="BD2830" i="1"/>
  <c r="AP2830" i="1"/>
  <c r="AX2830" i="1" s="1"/>
  <c r="AO2830" i="1"/>
  <c r="J2830" i="1" s="1"/>
  <c r="AK2830" i="1"/>
  <c r="AJ2830" i="1"/>
  <c r="AH2830" i="1"/>
  <c r="AG2830" i="1"/>
  <c r="AF2830" i="1"/>
  <c r="AE2830" i="1"/>
  <c r="AD2830" i="1"/>
  <c r="AC2830" i="1"/>
  <c r="AB2830" i="1"/>
  <c r="Z2830" i="1"/>
  <c r="O2830" i="1"/>
  <c r="BF2830" i="1" s="1"/>
  <c r="L2830" i="1"/>
  <c r="AL2830" i="1" s="1"/>
  <c r="BW2829" i="1"/>
  <c r="BM2829" i="1"/>
  <c r="BJ2829" i="1"/>
  <c r="BD2829" i="1"/>
  <c r="AP2829" i="1"/>
  <c r="AX2829" i="1" s="1"/>
  <c r="AO2829" i="1"/>
  <c r="AW2829" i="1" s="1"/>
  <c r="AK2829" i="1"/>
  <c r="AJ2829" i="1"/>
  <c r="AH2829" i="1"/>
  <c r="AG2829" i="1"/>
  <c r="AF2829" i="1"/>
  <c r="AE2829" i="1"/>
  <c r="AD2829" i="1"/>
  <c r="AC2829" i="1"/>
  <c r="AB2829" i="1"/>
  <c r="Z2829" i="1"/>
  <c r="O2829" i="1"/>
  <c r="BF2829" i="1" s="1"/>
  <c r="L2829" i="1"/>
  <c r="BW2826" i="1"/>
  <c r="BJ2826" i="1"/>
  <c r="Z2826" i="1" s="1"/>
  <c r="BD2826" i="1"/>
  <c r="AP2826" i="1"/>
  <c r="AX2826" i="1" s="1"/>
  <c r="AO2826" i="1"/>
  <c r="BH2826" i="1" s="1"/>
  <c r="AK2826" i="1"/>
  <c r="AJ2826" i="1"/>
  <c r="AH2826" i="1"/>
  <c r="AG2826" i="1"/>
  <c r="AF2826" i="1"/>
  <c r="AE2826" i="1"/>
  <c r="AD2826" i="1"/>
  <c r="AC2826" i="1"/>
  <c r="AB2826" i="1"/>
  <c r="O2826" i="1"/>
  <c r="BF2826" i="1" s="1"/>
  <c r="L2826" i="1"/>
  <c r="AL2826" i="1" s="1"/>
  <c r="BW2824" i="1"/>
  <c r="BJ2824" i="1"/>
  <c r="Z2824" i="1" s="1"/>
  <c r="BD2824" i="1"/>
  <c r="AP2824" i="1"/>
  <c r="AO2824" i="1"/>
  <c r="AW2824" i="1" s="1"/>
  <c r="AK2824" i="1"/>
  <c r="AJ2824" i="1"/>
  <c r="AH2824" i="1"/>
  <c r="AG2824" i="1"/>
  <c r="AF2824" i="1"/>
  <c r="AE2824" i="1"/>
  <c r="AD2824" i="1"/>
  <c r="AC2824" i="1"/>
  <c r="AB2824" i="1"/>
  <c r="O2824" i="1"/>
  <c r="BF2824" i="1" s="1"/>
  <c r="L2824" i="1"/>
  <c r="BW2823" i="1"/>
  <c r="BJ2823" i="1"/>
  <c r="Z2823" i="1" s="1"/>
  <c r="BD2823" i="1"/>
  <c r="AP2823" i="1"/>
  <c r="BI2823" i="1" s="1"/>
  <c r="AO2823" i="1"/>
  <c r="BH2823" i="1" s="1"/>
  <c r="AK2823" i="1"/>
  <c r="AJ2823" i="1"/>
  <c r="AH2823" i="1"/>
  <c r="AG2823" i="1"/>
  <c r="AF2823" i="1"/>
  <c r="AE2823" i="1"/>
  <c r="AD2823" i="1"/>
  <c r="AC2823" i="1"/>
  <c r="AB2823" i="1"/>
  <c r="O2823" i="1"/>
  <c r="BF2823" i="1" s="1"/>
  <c r="L2823" i="1"/>
  <c r="AL2823" i="1" s="1"/>
  <c r="BW2821" i="1"/>
  <c r="BJ2821" i="1"/>
  <c r="Z2821" i="1" s="1"/>
  <c r="BD2821" i="1"/>
  <c r="AP2821" i="1"/>
  <c r="AX2821" i="1" s="1"/>
  <c r="AO2821" i="1"/>
  <c r="BH2821" i="1" s="1"/>
  <c r="AK2821" i="1"/>
  <c r="AJ2821" i="1"/>
  <c r="AH2821" i="1"/>
  <c r="AG2821" i="1"/>
  <c r="AF2821" i="1"/>
  <c r="AE2821" i="1"/>
  <c r="AD2821" i="1"/>
  <c r="AC2821" i="1"/>
  <c r="AB2821" i="1"/>
  <c r="O2821" i="1"/>
  <c r="BF2821" i="1" s="1"/>
  <c r="L2821" i="1"/>
  <c r="AL2821" i="1" s="1"/>
  <c r="BW2820" i="1"/>
  <c r="BJ2820" i="1"/>
  <c r="Z2820" i="1" s="1"/>
  <c r="BD2820" i="1"/>
  <c r="AP2820" i="1"/>
  <c r="AO2820" i="1"/>
  <c r="AW2820" i="1" s="1"/>
  <c r="AK2820" i="1"/>
  <c r="AJ2820" i="1"/>
  <c r="AH2820" i="1"/>
  <c r="AG2820" i="1"/>
  <c r="AF2820" i="1"/>
  <c r="AE2820" i="1"/>
  <c r="AD2820" i="1"/>
  <c r="AC2820" i="1"/>
  <c r="AB2820" i="1"/>
  <c r="O2820" i="1"/>
  <c r="BF2820" i="1" s="1"/>
  <c r="L2820" i="1"/>
  <c r="BW2816" i="1"/>
  <c r="BJ2816" i="1"/>
  <c r="BD2816" i="1"/>
  <c r="AP2816" i="1"/>
  <c r="K2816" i="1" s="1"/>
  <c r="AO2816" i="1"/>
  <c r="BH2816" i="1" s="1"/>
  <c r="AB2816" i="1" s="1"/>
  <c r="AK2816" i="1"/>
  <c r="AJ2816" i="1"/>
  <c r="AH2816" i="1"/>
  <c r="AG2816" i="1"/>
  <c r="AF2816" i="1"/>
  <c r="AE2816" i="1"/>
  <c r="AD2816" i="1"/>
  <c r="Z2816" i="1"/>
  <c r="O2816" i="1"/>
  <c r="BF2816" i="1" s="1"/>
  <c r="L2816" i="1"/>
  <c r="AL2816" i="1" s="1"/>
  <c r="BW2812" i="1"/>
  <c r="BJ2812" i="1"/>
  <c r="BD2812" i="1"/>
  <c r="AP2812" i="1"/>
  <c r="AO2812" i="1"/>
  <c r="J2812" i="1" s="1"/>
  <c r="AK2812" i="1"/>
  <c r="AJ2812" i="1"/>
  <c r="AH2812" i="1"/>
  <c r="AG2812" i="1"/>
  <c r="AF2812" i="1"/>
  <c r="AE2812" i="1"/>
  <c r="AD2812" i="1"/>
  <c r="Z2812" i="1"/>
  <c r="O2812" i="1"/>
  <c r="BF2812" i="1" s="1"/>
  <c r="L2812" i="1"/>
  <c r="AS2800" i="1"/>
  <c r="AU2800" i="1"/>
  <c r="AT2800" i="1"/>
  <c r="BW2799" i="1"/>
  <c r="BJ2799" i="1"/>
  <c r="BD2799" i="1"/>
  <c r="AP2799" i="1"/>
  <c r="AX2799" i="1" s="1"/>
  <c r="AO2799" i="1"/>
  <c r="BH2799" i="1" s="1"/>
  <c r="AB2799" i="1" s="1"/>
  <c r="AK2799" i="1"/>
  <c r="AT2798" i="1" s="1"/>
  <c r="AJ2799" i="1"/>
  <c r="AS2798" i="1" s="1"/>
  <c r="AH2799" i="1"/>
  <c r="AG2799" i="1"/>
  <c r="AF2799" i="1"/>
  <c r="AE2799" i="1"/>
  <c r="AD2799" i="1"/>
  <c r="Z2799" i="1"/>
  <c r="O2799" i="1"/>
  <c r="BF2799" i="1" s="1"/>
  <c r="L2799" i="1"/>
  <c r="AL2799" i="1" s="1"/>
  <c r="AU2798" i="1" s="1"/>
  <c r="BW2797" i="1"/>
  <c r="BJ2797" i="1"/>
  <c r="BD2797" i="1"/>
  <c r="AP2797" i="1"/>
  <c r="BI2797" i="1" s="1"/>
  <c r="AC2797" i="1" s="1"/>
  <c r="AO2797" i="1"/>
  <c r="BH2797" i="1" s="1"/>
  <c r="AB2797" i="1" s="1"/>
  <c r="AK2797" i="1"/>
  <c r="AJ2797" i="1"/>
  <c r="AH2797" i="1"/>
  <c r="AG2797" i="1"/>
  <c r="AF2797" i="1"/>
  <c r="AE2797" i="1"/>
  <c r="AD2797" i="1"/>
  <c r="Z2797" i="1"/>
  <c r="O2797" i="1"/>
  <c r="BF2797" i="1" s="1"/>
  <c r="L2797" i="1"/>
  <c r="AL2797" i="1" s="1"/>
  <c r="BW2795" i="1"/>
  <c r="BJ2795" i="1"/>
  <c r="BD2795" i="1"/>
  <c r="AP2795" i="1"/>
  <c r="BI2795" i="1" s="1"/>
  <c r="AC2795" i="1" s="1"/>
  <c r="AO2795" i="1"/>
  <c r="AK2795" i="1"/>
  <c r="AJ2795" i="1"/>
  <c r="AH2795" i="1"/>
  <c r="AG2795" i="1"/>
  <c r="AF2795" i="1"/>
  <c r="AE2795" i="1"/>
  <c r="AD2795" i="1"/>
  <c r="Z2795" i="1"/>
  <c r="O2795" i="1"/>
  <c r="L2795" i="1"/>
  <c r="BW2790" i="1"/>
  <c r="BJ2790" i="1"/>
  <c r="BD2790" i="1"/>
  <c r="AP2790" i="1"/>
  <c r="AX2790" i="1" s="1"/>
  <c r="AO2790" i="1"/>
  <c r="AW2790" i="1" s="1"/>
  <c r="AK2790" i="1"/>
  <c r="AJ2790" i="1"/>
  <c r="AH2790" i="1"/>
  <c r="AG2790" i="1"/>
  <c r="AF2790" i="1"/>
  <c r="AE2790" i="1"/>
  <c r="AD2790" i="1"/>
  <c r="Z2790" i="1"/>
  <c r="O2790" i="1"/>
  <c r="BF2790" i="1" s="1"/>
  <c r="L2790" i="1"/>
  <c r="BW2786" i="1"/>
  <c r="BJ2786" i="1"/>
  <c r="BD2786" i="1"/>
  <c r="AP2786" i="1"/>
  <c r="BI2786" i="1" s="1"/>
  <c r="AC2786" i="1" s="1"/>
  <c r="AO2786" i="1"/>
  <c r="BH2786" i="1" s="1"/>
  <c r="AB2786" i="1" s="1"/>
  <c r="AK2786" i="1"/>
  <c r="AJ2786" i="1"/>
  <c r="AH2786" i="1"/>
  <c r="AG2786" i="1"/>
  <c r="AF2786" i="1"/>
  <c r="AE2786" i="1"/>
  <c r="AD2786" i="1"/>
  <c r="Z2786" i="1"/>
  <c r="O2786" i="1"/>
  <c r="BF2786" i="1" s="1"/>
  <c r="L2786" i="1"/>
  <c r="K2786" i="1"/>
  <c r="BW2783" i="1"/>
  <c r="BJ2783" i="1"/>
  <c r="BD2783" i="1"/>
  <c r="AP2783" i="1"/>
  <c r="AO2783" i="1"/>
  <c r="AK2783" i="1"/>
  <c r="AJ2783" i="1"/>
  <c r="AH2783" i="1"/>
  <c r="AG2783" i="1"/>
  <c r="AF2783" i="1"/>
  <c r="AE2783" i="1"/>
  <c r="AD2783" i="1"/>
  <c r="Z2783" i="1"/>
  <c r="O2783" i="1"/>
  <c r="BF2783" i="1" s="1"/>
  <c r="L2783" i="1"/>
  <c r="BW2777" i="1"/>
  <c r="BJ2777" i="1"/>
  <c r="BD2777" i="1"/>
  <c r="AP2777" i="1"/>
  <c r="BI2777" i="1" s="1"/>
  <c r="AC2777" i="1" s="1"/>
  <c r="AO2777" i="1"/>
  <c r="AK2777" i="1"/>
  <c r="AJ2777" i="1"/>
  <c r="AH2777" i="1"/>
  <c r="AG2777" i="1"/>
  <c r="AF2777" i="1"/>
  <c r="AE2777" i="1"/>
  <c r="AD2777" i="1"/>
  <c r="Z2777" i="1"/>
  <c r="O2777" i="1"/>
  <c r="L2777" i="1"/>
  <c r="BW2769" i="1"/>
  <c r="BJ2769" i="1"/>
  <c r="BD2769" i="1"/>
  <c r="AP2769" i="1"/>
  <c r="AX2769" i="1" s="1"/>
  <c r="AO2769" i="1"/>
  <c r="AW2769" i="1" s="1"/>
  <c r="AK2769" i="1"/>
  <c r="AT2768" i="1" s="1"/>
  <c r="AJ2769" i="1"/>
  <c r="AS2768" i="1" s="1"/>
  <c r="AH2769" i="1"/>
  <c r="AG2769" i="1"/>
  <c r="AF2769" i="1"/>
  <c r="AE2769" i="1"/>
  <c r="AD2769" i="1"/>
  <c r="Z2769" i="1"/>
  <c r="O2769" i="1"/>
  <c r="O2768" i="1" s="1"/>
  <c r="G80" i="2" s="1"/>
  <c r="L2769" i="1"/>
  <c r="BW2765" i="1"/>
  <c r="BJ2765" i="1"/>
  <c r="BD2765" i="1"/>
  <c r="AP2765" i="1"/>
  <c r="AX2765" i="1" s="1"/>
  <c r="AO2765" i="1"/>
  <c r="AW2765" i="1" s="1"/>
  <c r="AK2765" i="1"/>
  <c r="AT2764" i="1" s="1"/>
  <c r="AJ2765" i="1"/>
  <c r="AS2764" i="1" s="1"/>
  <c r="AH2765" i="1"/>
  <c r="AG2765" i="1"/>
  <c r="AF2765" i="1"/>
  <c r="AE2765" i="1"/>
  <c r="AD2765" i="1"/>
  <c r="Z2765" i="1"/>
  <c r="O2765" i="1"/>
  <c r="O2764" i="1" s="1"/>
  <c r="G79" i="2" s="1"/>
  <c r="L2765" i="1"/>
  <c r="L2764" i="1" s="1"/>
  <c r="F79" i="2" s="1"/>
  <c r="I79" i="2" s="1"/>
  <c r="BW2761" i="1"/>
  <c r="BJ2761" i="1"/>
  <c r="Z2761" i="1" s="1"/>
  <c r="BD2761" i="1"/>
  <c r="AP2761" i="1"/>
  <c r="AO2761" i="1"/>
  <c r="BH2761" i="1" s="1"/>
  <c r="AK2761" i="1"/>
  <c r="AJ2761" i="1"/>
  <c r="AH2761" i="1"/>
  <c r="AG2761" i="1"/>
  <c r="AF2761" i="1"/>
  <c r="AE2761" i="1"/>
  <c r="AD2761" i="1"/>
  <c r="AC2761" i="1"/>
  <c r="AB2761" i="1"/>
  <c r="O2761" i="1"/>
  <c r="BF2761" i="1" s="1"/>
  <c r="L2761" i="1"/>
  <c r="J2761" i="1"/>
  <c r="BW2759" i="1"/>
  <c r="BJ2759" i="1"/>
  <c r="BD2759" i="1"/>
  <c r="AP2759" i="1"/>
  <c r="AX2759" i="1" s="1"/>
  <c r="AO2759" i="1"/>
  <c r="AW2759" i="1" s="1"/>
  <c r="AK2759" i="1"/>
  <c r="AJ2759" i="1"/>
  <c r="AH2759" i="1"/>
  <c r="AG2759" i="1"/>
  <c r="AF2759" i="1"/>
  <c r="AC2759" i="1"/>
  <c r="AB2759" i="1"/>
  <c r="Z2759" i="1"/>
  <c r="O2759" i="1"/>
  <c r="BF2759" i="1" s="1"/>
  <c r="L2759" i="1"/>
  <c r="AL2759" i="1" s="1"/>
  <c r="BW2756" i="1"/>
  <c r="BJ2756" i="1"/>
  <c r="BD2756" i="1"/>
  <c r="AP2756" i="1"/>
  <c r="AX2756" i="1" s="1"/>
  <c r="AO2756" i="1"/>
  <c r="BH2756" i="1" s="1"/>
  <c r="AD2756" i="1" s="1"/>
  <c r="AK2756" i="1"/>
  <c r="AJ2756" i="1"/>
  <c r="AH2756" i="1"/>
  <c r="AG2756" i="1"/>
  <c r="AF2756" i="1"/>
  <c r="AC2756" i="1"/>
  <c r="AB2756" i="1"/>
  <c r="Z2756" i="1"/>
  <c r="O2756" i="1"/>
  <c r="BF2756" i="1" s="1"/>
  <c r="L2756" i="1"/>
  <c r="AL2756" i="1" s="1"/>
  <c r="BW2753" i="1"/>
  <c r="BJ2753" i="1"/>
  <c r="Z2753" i="1" s="1"/>
  <c r="BD2753" i="1"/>
  <c r="AP2753" i="1"/>
  <c r="BI2753" i="1" s="1"/>
  <c r="AO2753" i="1"/>
  <c r="AK2753" i="1"/>
  <c r="AT2752" i="1" s="1"/>
  <c r="AJ2753" i="1"/>
  <c r="AS2752" i="1" s="1"/>
  <c r="AH2753" i="1"/>
  <c r="AG2753" i="1"/>
  <c r="AF2753" i="1"/>
  <c r="AE2753" i="1"/>
  <c r="AD2753" i="1"/>
  <c r="AC2753" i="1"/>
  <c r="AB2753" i="1"/>
  <c r="O2753" i="1"/>
  <c r="BF2753" i="1" s="1"/>
  <c r="L2753" i="1"/>
  <c r="AL2753" i="1" s="1"/>
  <c r="AU2752" i="1" s="1"/>
  <c r="BW2750" i="1"/>
  <c r="BJ2750" i="1"/>
  <c r="BD2750" i="1"/>
  <c r="AP2750" i="1"/>
  <c r="BI2750" i="1" s="1"/>
  <c r="AC2750" i="1" s="1"/>
  <c r="AO2750" i="1"/>
  <c r="AW2750" i="1" s="1"/>
  <c r="AK2750" i="1"/>
  <c r="AT2749" i="1" s="1"/>
  <c r="AJ2750" i="1"/>
  <c r="AS2749" i="1" s="1"/>
  <c r="AH2750" i="1"/>
  <c r="AG2750" i="1"/>
  <c r="AF2750" i="1"/>
  <c r="AE2750" i="1"/>
  <c r="AD2750" i="1"/>
  <c r="Z2750" i="1"/>
  <c r="O2750" i="1"/>
  <c r="BF2750" i="1" s="1"/>
  <c r="L2750" i="1"/>
  <c r="AL2750" i="1" s="1"/>
  <c r="AU2749" i="1" s="1"/>
  <c r="BW2746" i="1"/>
  <c r="BJ2746" i="1"/>
  <c r="BD2746" i="1"/>
  <c r="AP2746" i="1"/>
  <c r="AX2746" i="1" s="1"/>
  <c r="AO2746" i="1"/>
  <c r="AW2746" i="1" s="1"/>
  <c r="AK2746" i="1"/>
  <c r="AT2745" i="1" s="1"/>
  <c r="AJ2746" i="1"/>
  <c r="AS2745" i="1" s="1"/>
  <c r="AH2746" i="1"/>
  <c r="AG2746" i="1"/>
  <c r="AF2746" i="1"/>
  <c r="AE2746" i="1"/>
  <c r="AD2746" i="1"/>
  <c r="Z2746" i="1"/>
  <c r="O2746" i="1"/>
  <c r="BF2746" i="1" s="1"/>
  <c r="L2746" i="1"/>
  <c r="AL2746" i="1" s="1"/>
  <c r="AU2745" i="1" s="1"/>
  <c r="BW2744" i="1"/>
  <c r="BJ2744" i="1"/>
  <c r="BD2744" i="1"/>
  <c r="AP2744" i="1"/>
  <c r="BI2744" i="1" s="1"/>
  <c r="AC2744" i="1" s="1"/>
  <c r="AO2744" i="1"/>
  <c r="AK2744" i="1"/>
  <c r="AJ2744" i="1"/>
  <c r="AH2744" i="1"/>
  <c r="AG2744" i="1"/>
  <c r="AF2744" i="1"/>
  <c r="AE2744" i="1"/>
  <c r="AD2744" i="1"/>
  <c r="Z2744" i="1"/>
  <c r="O2744" i="1"/>
  <c r="BF2744" i="1" s="1"/>
  <c r="L2744" i="1"/>
  <c r="AL2744" i="1" s="1"/>
  <c r="K2744" i="1"/>
  <c r="BW2740" i="1"/>
  <c r="BJ2740" i="1"/>
  <c r="BD2740" i="1"/>
  <c r="AP2740" i="1"/>
  <c r="AO2740" i="1"/>
  <c r="BH2740" i="1" s="1"/>
  <c r="AB2740" i="1" s="1"/>
  <c r="AK2740" i="1"/>
  <c r="AJ2740" i="1"/>
  <c r="AH2740" i="1"/>
  <c r="AG2740" i="1"/>
  <c r="AF2740" i="1"/>
  <c r="AE2740" i="1"/>
  <c r="AD2740" i="1"/>
  <c r="Z2740" i="1"/>
  <c r="O2740" i="1"/>
  <c r="L2740" i="1"/>
  <c r="BW2736" i="1"/>
  <c r="BJ2736" i="1"/>
  <c r="BD2736" i="1"/>
  <c r="AP2736" i="1"/>
  <c r="BI2736" i="1" s="1"/>
  <c r="AC2736" i="1" s="1"/>
  <c r="AO2736" i="1"/>
  <c r="AK2736" i="1"/>
  <c r="AJ2736" i="1"/>
  <c r="AH2736" i="1"/>
  <c r="AG2736" i="1"/>
  <c r="AF2736" i="1"/>
  <c r="AE2736" i="1"/>
  <c r="AD2736" i="1"/>
  <c r="Z2736" i="1"/>
  <c r="O2736" i="1"/>
  <c r="BF2736" i="1" s="1"/>
  <c r="L2736" i="1"/>
  <c r="BW2731" i="1"/>
  <c r="BJ2731" i="1"/>
  <c r="BD2731" i="1"/>
  <c r="AP2731" i="1"/>
  <c r="BI2731" i="1" s="1"/>
  <c r="AC2731" i="1" s="1"/>
  <c r="AO2731" i="1"/>
  <c r="AW2731" i="1" s="1"/>
  <c r="AK2731" i="1"/>
  <c r="AT2730" i="1" s="1"/>
  <c r="AJ2731" i="1"/>
  <c r="AS2730" i="1" s="1"/>
  <c r="AH2731" i="1"/>
  <c r="AG2731" i="1"/>
  <c r="AF2731" i="1"/>
  <c r="AE2731" i="1"/>
  <c r="AD2731" i="1"/>
  <c r="Z2731" i="1"/>
  <c r="O2731" i="1"/>
  <c r="BF2731" i="1" s="1"/>
  <c r="L2731" i="1"/>
  <c r="L2730" i="1" s="1"/>
  <c r="F70" i="2" s="1"/>
  <c r="I70" i="2" s="1"/>
  <c r="BW2729" i="1"/>
  <c r="BJ2729" i="1"/>
  <c r="BD2729" i="1"/>
  <c r="AP2729" i="1"/>
  <c r="BI2729" i="1" s="1"/>
  <c r="AC2729" i="1" s="1"/>
  <c r="AO2729" i="1"/>
  <c r="AW2729" i="1" s="1"/>
  <c r="AK2729" i="1"/>
  <c r="AJ2729" i="1"/>
  <c r="AH2729" i="1"/>
  <c r="AG2729" i="1"/>
  <c r="AF2729" i="1"/>
  <c r="AE2729" i="1"/>
  <c r="AD2729" i="1"/>
  <c r="Z2729" i="1"/>
  <c r="O2729" i="1"/>
  <c r="BF2729" i="1" s="1"/>
  <c r="L2729" i="1"/>
  <c r="BW2727" i="1"/>
  <c r="BJ2727" i="1"/>
  <c r="BD2727" i="1"/>
  <c r="AP2727" i="1"/>
  <c r="AX2727" i="1" s="1"/>
  <c r="AO2727" i="1"/>
  <c r="AW2727" i="1" s="1"/>
  <c r="AK2727" i="1"/>
  <c r="AJ2727" i="1"/>
  <c r="AH2727" i="1"/>
  <c r="AG2727" i="1"/>
  <c r="AF2727" i="1"/>
  <c r="AE2727" i="1"/>
  <c r="AD2727" i="1"/>
  <c r="Z2727" i="1"/>
  <c r="O2727" i="1"/>
  <c r="BF2727" i="1" s="1"/>
  <c r="L2727" i="1"/>
  <c r="K2727" i="1"/>
  <c r="BW2726" i="1"/>
  <c r="BJ2726" i="1"/>
  <c r="BD2726" i="1"/>
  <c r="AP2726" i="1"/>
  <c r="AX2726" i="1" s="1"/>
  <c r="AO2726" i="1"/>
  <c r="BH2726" i="1" s="1"/>
  <c r="AB2726" i="1" s="1"/>
  <c r="AK2726" i="1"/>
  <c r="AJ2726" i="1"/>
  <c r="AH2726" i="1"/>
  <c r="AG2726" i="1"/>
  <c r="AF2726" i="1"/>
  <c r="AE2726" i="1"/>
  <c r="AD2726" i="1"/>
  <c r="Z2726" i="1"/>
  <c r="O2726" i="1"/>
  <c r="BF2726" i="1" s="1"/>
  <c r="L2726" i="1"/>
  <c r="BW2723" i="1"/>
  <c r="BJ2723" i="1"/>
  <c r="BD2723" i="1"/>
  <c r="AP2723" i="1"/>
  <c r="AX2723" i="1" s="1"/>
  <c r="AO2723" i="1"/>
  <c r="J2723" i="1" s="1"/>
  <c r="AK2723" i="1"/>
  <c r="AJ2723" i="1"/>
  <c r="AH2723" i="1"/>
  <c r="AG2723" i="1"/>
  <c r="AF2723" i="1"/>
  <c r="AE2723" i="1"/>
  <c r="AD2723" i="1"/>
  <c r="Z2723" i="1"/>
  <c r="O2723" i="1"/>
  <c r="BF2723" i="1" s="1"/>
  <c r="L2723" i="1"/>
  <c r="BW2720" i="1"/>
  <c r="BJ2720" i="1"/>
  <c r="BD2720" i="1"/>
  <c r="AP2720" i="1"/>
  <c r="BI2720" i="1" s="1"/>
  <c r="AC2720" i="1" s="1"/>
  <c r="AO2720" i="1"/>
  <c r="AW2720" i="1" s="1"/>
  <c r="AK2720" i="1"/>
  <c r="AJ2720" i="1"/>
  <c r="AH2720" i="1"/>
  <c r="AG2720" i="1"/>
  <c r="AF2720" i="1"/>
  <c r="AE2720" i="1"/>
  <c r="AD2720" i="1"/>
  <c r="Z2720" i="1"/>
  <c r="O2720" i="1"/>
  <c r="BF2720" i="1" s="1"/>
  <c r="L2720" i="1"/>
  <c r="BW2716" i="1"/>
  <c r="BJ2716" i="1"/>
  <c r="BD2716" i="1"/>
  <c r="AP2716" i="1"/>
  <c r="BI2716" i="1" s="1"/>
  <c r="AG2716" i="1" s="1"/>
  <c r="AO2716" i="1"/>
  <c r="AW2716" i="1" s="1"/>
  <c r="AK2716" i="1"/>
  <c r="AJ2716" i="1"/>
  <c r="AH2716" i="1"/>
  <c r="AE2716" i="1"/>
  <c r="AD2716" i="1"/>
  <c r="AC2716" i="1"/>
  <c r="AB2716" i="1"/>
  <c r="Z2716" i="1"/>
  <c r="O2716" i="1"/>
  <c r="BF2716" i="1" s="1"/>
  <c r="L2716" i="1"/>
  <c r="BW2715" i="1"/>
  <c r="BJ2715" i="1"/>
  <c r="BD2715" i="1"/>
  <c r="AP2715" i="1"/>
  <c r="BI2715" i="1" s="1"/>
  <c r="AG2715" i="1" s="1"/>
  <c r="AO2715" i="1"/>
  <c r="AW2715" i="1" s="1"/>
  <c r="AK2715" i="1"/>
  <c r="AJ2715" i="1"/>
  <c r="AH2715" i="1"/>
  <c r="AE2715" i="1"/>
  <c r="AD2715" i="1"/>
  <c r="AC2715" i="1"/>
  <c r="AB2715" i="1"/>
  <c r="Z2715" i="1"/>
  <c r="O2715" i="1"/>
  <c r="BF2715" i="1" s="1"/>
  <c r="L2715" i="1"/>
  <c r="BW2714" i="1"/>
  <c r="BJ2714" i="1"/>
  <c r="BD2714" i="1"/>
  <c r="AP2714" i="1"/>
  <c r="AX2714" i="1" s="1"/>
  <c r="AO2714" i="1"/>
  <c r="AW2714" i="1" s="1"/>
  <c r="AK2714" i="1"/>
  <c r="AJ2714" i="1"/>
  <c r="AH2714" i="1"/>
  <c r="AE2714" i="1"/>
  <c r="AD2714" i="1"/>
  <c r="AC2714" i="1"/>
  <c r="AB2714" i="1"/>
  <c r="Z2714" i="1"/>
  <c r="O2714" i="1"/>
  <c r="BF2714" i="1" s="1"/>
  <c r="L2714" i="1"/>
  <c r="BW2713" i="1"/>
  <c r="BJ2713" i="1"/>
  <c r="BD2713" i="1"/>
  <c r="AP2713" i="1"/>
  <c r="BI2713" i="1" s="1"/>
  <c r="AG2713" i="1" s="1"/>
  <c r="AO2713" i="1"/>
  <c r="BH2713" i="1" s="1"/>
  <c r="AF2713" i="1" s="1"/>
  <c r="AK2713" i="1"/>
  <c r="AJ2713" i="1"/>
  <c r="AH2713" i="1"/>
  <c r="AE2713" i="1"/>
  <c r="AD2713" i="1"/>
  <c r="AC2713" i="1"/>
  <c r="AB2713" i="1"/>
  <c r="Z2713" i="1"/>
  <c r="O2713" i="1"/>
  <c r="BF2713" i="1" s="1"/>
  <c r="L2713" i="1"/>
  <c r="BW2712" i="1"/>
  <c r="BJ2712" i="1"/>
  <c r="BD2712" i="1"/>
  <c r="AP2712" i="1"/>
  <c r="AX2712" i="1" s="1"/>
  <c r="AO2712" i="1"/>
  <c r="AK2712" i="1"/>
  <c r="AJ2712" i="1"/>
  <c r="AH2712" i="1"/>
  <c r="AE2712" i="1"/>
  <c r="AD2712" i="1"/>
  <c r="AC2712" i="1"/>
  <c r="AB2712" i="1"/>
  <c r="Z2712" i="1"/>
  <c r="O2712" i="1"/>
  <c r="BF2712" i="1" s="1"/>
  <c r="L2712" i="1"/>
  <c r="BW2711" i="1"/>
  <c r="BJ2711" i="1"/>
  <c r="BD2711" i="1"/>
  <c r="AP2711" i="1"/>
  <c r="AX2711" i="1" s="1"/>
  <c r="AO2711" i="1"/>
  <c r="AW2711" i="1" s="1"/>
  <c r="AK2711" i="1"/>
  <c r="AJ2711" i="1"/>
  <c r="AH2711" i="1"/>
  <c r="AE2711" i="1"/>
  <c r="AD2711" i="1"/>
  <c r="AC2711" i="1"/>
  <c r="AB2711" i="1"/>
  <c r="Z2711" i="1"/>
  <c r="O2711" i="1"/>
  <c r="BF2711" i="1" s="1"/>
  <c r="L2711" i="1"/>
  <c r="AL2711" i="1" s="1"/>
  <c r="BW2710" i="1"/>
  <c r="BJ2710" i="1"/>
  <c r="BD2710" i="1"/>
  <c r="AP2710" i="1"/>
  <c r="BI2710" i="1" s="1"/>
  <c r="AG2710" i="1" s="1"/>
  <c r="AO2710" i="1"/>
  <c r="AW2710" i="1" s="1"/>
  <c r="AK2710" i="1"/>
  <c r="AJ2710" i="1"/>
  <c r="AH2710" i="1"/>
  <c r="AE2710" i="1"/>
  <c r="AD2710" i="1"/>
  <c r="AC2710" i="1"/>
  <c r="AB2710" i="1"/>
  <c r="Z2710" i="1"/>
  <c r="O2710" i="1"/>
  <c r="BF2710" i="1" s="1"/>
  <c r="L2710" i="1"/>
  <c r="AL2710" i="1" s="1"/>
  <c r="BW2709" i="1"/>
  <c r="BJ2709" i="1"/>
  <c r="BD2709" i="1"/>
  <c r="AP2709" i="1"/>
  <c r="BI2709" i="1" s="1"/>
  <c r="AG2709" i="1" s="1"/>
  <c r="AO2709" i="1"/>
  <c r="AK2709" i="1"/>
  <c r="AJ2709" i="1"/>
  <c r="AH2709" i="1"/>
  <c r="AE2709" i="1"/>
  <c r="AD2709" i="1"/>
  <c r="AC2709" i="1"/>
  <c r="AB2709" i="1"/>
  <c r="Z2709" i="1"/>
  <c r="O2709" i="1"/>
  <c r="BF2709" i="1" s="1"/>
  <c r="L2709" i="1"/>
  <c r="BW2708" i="1"/>
  <c r="BJ2708" i="1"/>
  <c r="BD2708" i="1"/>
  <c r="AP2708" i="1"/>
  <c r="BI2708" i="1" s="1"/>
  <c r="AG2708" i="1" s="1"/>
  <c r="AO2708" i="1"/>
  <c r="BH2708" i="1" s="1"/>
  <c r="AF2708" i="1" s="1"/>
  <c r="AK2708" i="1"/>
  <c r="AJ2708" i="1"/>
  <c r="AH2708" i="1"/>
  <c r="AE2708" i="1"/>
  <c r="AD2708" i="1"/>
  <c r="AC2708" i="1"/>
  <c r="AB2708" i="1"/>
  <c r="Z2708" i="1"/>
  <c r="O2708" i="1"/>
  <c r="BF2708" i="1" s="1"/>
  <c r="L2708" i="1"/>
  <c r="AL2708" i="1" s="1"/>
  <c r="BW2707" i="1"/>
  <c r="BJ2707" i="1"/>
  <c r="BD2707" i="1"/>
  <c r="AP2707" i="1"/>
  <c r="AO2707" i="1"/>
  <c r="AW2707" i="1" s="1"/>
  <c r="AK2707" i="1"/>
  <c r="AJ2707" i="1"/>
  <c r="AH2707" i="1"/>
  <c r="AE2707" i="1"/>
  <c r="AD2707" i="1"/>
  <c r="AC2707" i="1"/>
  <c r="AB2707" i="1"/>
  <c r="Z2707" i="1"/>
  <c r="O2707" i="1"/>
  <c r="BF2707" i="1" s="1"/>
  <c r="L2707" i="1"/>
  <c r="AL2707" i="1" s="1"/>
  <c r="BW2706" i="1"/>
  <c r="BJ2706" i="1"/>
  <c r="BD2706" i="1"/>
  <c r="AP2706" i="1"/>
  <c r="BI2706" i="1" s="1"/>
  <c r="AG2706" i="1" s="1"/>
  <c r="AO2706" i="1"/>
  <c r="BH2706" i="1" s="1"/>
  <c r="AF2706" i="1" s="1"/>
  <c r="AK2706" i="1"/>
  <c r="AJ2706" i="1"/>
  <c r="AH2706" i="1"/>
  <c r="AE2706" i="1"/>
  <c r="AD2706" i="1"/>
  <c r="AC2706" i="1"/>
  <c r="AB2706" i="1"/>
  <c r="Z2706" i="1"/>
  <c r="O2706" i="1"/>
  <c r="BF2706" i="1" s="1"/>
  <c r="L2706" i="1"/>
  <c r="K2706" i="1"/>
  <c r="J2706" i="1"/>
  <c r="BW2705" i="1"/>
  <c r="BJ2705" i="1"/>
  <c r="BD2705" i="1"/>
  <c r="AP2705" i="1"/>
  <c r="K2705" i="1" s="1"/>
  <c r="AO2705" i="1"/>
  <c r="BH2705" i="1" s="1"/>
  <c r="AF2705" i="1" s="1"/>
  <c r="AK2705" i="1"/>
  <c r="AJ2705" i="1"/>
  <c r="AH2705" i="1"/>
  <c r="AE2705" i="1"/>
  <c r="AD2705" i="1"/>
  <c r="AC2705" i="1"/>
  <c r="AB2705" i="1"/>
  <c r="Z2705" i="1"/>
  <c r="O2705" i="1"/>
  <c r="BF2705" i="1" s="1"/>
  <c r="L2705" i="1"/>
  <c r="BW2704" i="1"/>
  <c r="BJ2704" i="1"/>
  <c r="BD2704" i="1"/>
  <c r="AP2704" i="1"/>
  <c r="AO2704" i="1"/>
  <c r="AK2704" i="1"/>
  <c r="AJ2704" i="1"/>
  <c r="AH2704" i="1"/>
  <c r="AE2704" i="1"/>
  <c r="AD2704" i="1"/>
  <c r="AC2704" i="1"/>
  <c r="AB2704" i="1"/>
  <c r="Z2704" i="1"/>
  <c r="O2704" i="1"/>
  <c r="BF2704" i="1" s="1"/>
  <c r="L2704" i="1"/>
  <c r="BW2703" i="1"/>
  <c r="BJ2703" i="1"/>
  <c r="BD2703" i="1"/>
  <c r="AP2703" i="1"/>
  <c r="BI2703" i="1" s="1"/>
  <c r="AG2703" i="1" s="1"/>
  <c r="AO2703" i="1"/>
  <c r="AK2703" i="1"/>
  <c r="AJ2703" i="1"/>
  <c r="AH2703" i="1"/>
  <c r="AE2703" i="1"/>
  <c r="AD2703" i="1"/>
  <c r="AC2703" i="1"/>
  <c r="AB2703" i="1"/>
  <c r="Z2703" i="1"/>
  <c r="O2703" i="1"/>
  <c r="BF2703" i="1" s="1"/>
  <c r="L2703" i="1"/>
  <c r="AL2703" i="1" s="1"/>
  <c r="BW2702" i="1"/>
  <c r="BJ2702" i="1"/>
  <c r="BD2702" i="1"/>
  <c r="AP2702" i="1"/>
  <c r="BI2702" i="1" s="1"/>
  <c r="AG2702" i="1" s="1"/>
  <c r="AO2702" i="1"/>
  <c r="BH2702" i="1" s="1"/>
  <c r="AF2702" i="1" s="1"/>
  <c r="AK2702" i="1"/>
  <c r="AJ2702" i="1"/>
  <c r="AH2702" i="1"/>
  <c r="AE2702" i="1"/>
  <c r="AD2702" i="1"/>
  <c r="AC2702" i="1"/>
  <c r="AB2702" i="1"/>
  <c r="Z2702" i="1"/>
  <c r="O2702" i="1"/>
  <c r="BF2702" i="1" s="1"/>
  <c r="L2702" i="1"/>
  <c r="BW2701" i="1"/>
  <c r="BJ2701" i="1"/>
  <c r="BD2701" i="1"/>
  <c r="AP2701" i="1"/>
  <c r="AO2701" i="1"/>
  <c r="AK2701" i="1"/>
  <c r="AJ2701" i="1"/>
  <c r="AH2701" i="1"/>
  <c r="AE2701" i="1"/>
  <c r="AD2701" i="1"/>
  <c r="AC2701" i="1"/>
  <c r="AB2701" i="1"/>
  <c r="Z2701" i="1"/>
  <c r="O2701" i="1"/>
  <c r="BF2701" i="1" s="1"/>
  <c r="L2701" i="1"/>
  <c r="AL2701" i="1" s="1"/>
  <c r="BW2700" i="1"/>
  <c r="BJ2700" i="1"/>
  <c r="BD2700" i="1"/>
  <c r="AP2700" i="1"/>
  <c r="BI2700" i="1" s="1"/>
  <c r="AG2700" i="1" s="1"/>
  <c r="AO2700" i="1"/>
  <c r="AK2700" i="1"/>
  <c r="AJ2700" i="1"/>
  <c r="AH2700" i="1"/>
  <c r="AE2700" i="1"/>
  <c r="AD2700" i="1"/>
  <c r="AC2700" i="1"/>
  <c r="AB2700" i="1"/>
  <c r="Z2700" i="1"/>
  <c r="O2700" i="1"/>
  <c r="BF2700" i="1" s="1"/>
  <c r="L2700" i="1"/>
  <c r="AL2700" i="1" s="1"/>
  <c r="BW2699" i="1"/>
  <c r="BJ2699" i="1"/>
  <c r="BD2699" i="1"/>
  <c r="AP2699" i="1"/>
  <c r="BI2699" i="1" s="1"/>
  <c r="AG2699" i="1" s="1"/>
  <c r="AO2699" i="1"/>
  <c r="BH2699" i="1" s="1"/>
  <c r="AF2699" i="1" s="1"/>
  <c r="AK2699" i="1"/>
  <c r="AJ2699" i="1"/>
  <c r="AH2699" i="1"/>
  <c r="AE2699" i="1"/>
  <c r="AD2699" i="1"/>
  <c r="AC2699" i="1"/>
  <c r="AB2699" i="1"/>
  <c r="Z2699" i="1"/>
  <c r="O2699" i="1"/>
  <c r="BF2699" i="1" s="1"/>
  <c r="L2699" i="1"/>
  <c r="BW2698" i="1"/>
  <c r="BJ2698" i="1"/>
  <c r="BD2698" i="1"/>
  <c r="AP2698" i="1"/>
  <c r="AO2698" i="1"/>
  <c r="BH2698" i="1" s="1"/>
  <c r="AF2698" i="1" s="1"/>
  <c r="AK2698" i="1"/>
  <c r="AJ2698" i="1"/>
  <c r="AH2698" i="1"/>
  <c r="AE2698" i="1"/>
  <c r="AD2698" i="1"/>
  <c r="AC2698" i="1"/>
  <c r="AB2698" i="1"/>
  <c r="Z2698" i="1"/>
  <c r="O2698" i="1"/>
  <c r="BF2698" i="1" s="1"/>
  <c r="L2698" i="1"/>
  <c r="AL2698" i="1" s="1"/>
  <c r="BW2697" i="1"/>
  <c r="BJ2697" i="1"/>
  <c r="BD2697" i="1"/>
  <c r="AP2697" i="1"/>
  <c r="BI2697" i="1" s="1"/>
  <c r="AG2697" i="1" s="1"/>
  <c r="AO2697" i="1"/>
  <c r="AK2697" i="1"/>
  <c r="AJ2697" i="1"/>
  <c r="AH2697" i="1"/>
  <c r="AE2697" i="1"/>
  <c r="AD2697" i="1"/>
  <c r="AC2697" i="1"/>
  <c r="AB2697" i="1"/>
  <c r="Z2697" i="1"/>
  <c r="O2697" i="1"/>
  <c r="BF2697" i="1" s="1"/>
  <c r="L2697" i="1"/>
  <c r="AL2697" i="1" s="1"/>
  <c r="BW2696" i="1"/>
  <c r="BJ2696" i="1"/>
  <c r="BD2696" i="1"/>
  <c r="AP2696" i="1"/>
  <c r="BI2696" i="1" s="1"/>
  <c r="AG2696" i="1" s="1"/>
  <c r="AO2696" i="1"/>
  <c r="BH2696" i="1" s="1"/>
  <c r="AF2696" i="1" s="1"/>
  <c r="AK2696" i="1"/>
  <c r="AJ2696" i="1"/>
  <c r="AH2696" i="1"/>
  <c r="AE2696" i="1"/>
  <c r="AD2696" i="1"/>
  <c r="AC2696" i="1"/>
  <c r="AB2696" i="1"/>
  <c r="Z2696" i="1"/>
  <c r="O2696" i="1"/>
  <c r="BF2696" i="1" s="1"/>
  <c r="L2696" i="1"/>
  <c r="K2696" i="1"/>
  <c r="BW2695" i="1"/>
  <c r="BJ2695" i="1"/>
  <c r="BD2695" i="1"/>
  <c r="AP2695" i="1"/>
  <c r="AO2695" i="1"/>
  <c r="AW2695" i="1" s="1"/>
  <c r="AK2695" i="1"/>
  <c r="AJ2695" i="1"/>
  <c r="AH2695" i="1"/>
  <c r="AE2695" i="1"/>
  <c r="AD2695" i="1"/>
  <c r="AC2695" i="1"/>
  <c r="AB2695" i="1"/>
  <c r="Z2695" i="1"/>
  <c r="O2695" i="1"/>
  <c r="BF2695" i="1" s="1"/>
  <c r="L2695" i="1"/>
  <c r="BW2694" i="1"/>
  <c r="BJ2694" i="1"/>
  <c r="BD2694" i="1"/>
  <c r="AP2694" i="1"/>
  <c r="BI2694" i="1" s="1"/>
  <c r="AG2694" i="1" s="1"/>
  <c r="AO2694" i="1"/>
  <c r="AK2694" i="1"/>
  <c r="AJ2694" i="1"/>
  <c r="AH2694" i="1"/>
  <c r="AE2694" i="1"/>
  <c r="AD2694" i="1"/>
  <c r="AC2694" i="1"/>
  <c r="AB2694" i="1"/>
  <c r="Z2694" i="1"/>
  <c r="O2694" i="1"/>
  <c r="BF2694" i="1" s="1"/>
  <c r="L2694" i="1"/>
  <c r="AL2694" i="1" s="1"/>
  <c r="BW2693" i="1"/>
  <c r="BJ2693" i="1"/>
  <c r="BD2693" i="1"/>
  <c r="AP2693" i="1"/>
  <c r="BI2693" i="1" s="1"/>
  <c r="AG2693" i="1" s="1"/>
  <c r="AO2693" i="1"/>
  <c r="BH2693" i="1" s="1"/>
  <c r="AF2693" i="1" s="1"/>
  <c r="AK2693" i="1"/>
  <c r="AJ2693" i="1"/>
  <c r="AH2693" i="1"/>
  <c r="AE2693" i="1"/>
  <c r="AD2693" i="1"/>
  <c r="AC2693" i="1"/>
  <c r="AB2693" i="1"/>
  <c r="Z2693" i="1"/>
  <c r="O2693" i="1"/>
  <c r="BF2693" i="1" s="1"/>
  <c r="L2693" i="1"/>
  <c r="K2693" i="1"/>
  <c r="BW2692" i="1"/>
  <c r="BJ2692" i="1"/>
  <c r="BD2692" i="1"/>
  <c r="AP2692" i="1"/>
  <c r="AO2692" i="1"/>
  <c r="AW2692" i="1" s="1"/>
  <c r="AK2692" i="1"/>
  <c r="AJ2692" i="1"/>
  <c r="AH2692" i="1"/>
  <c r="AE2692" i="1"/>
  <c r="AD2692" i="1"/>
  <c r="AC2692" i="1"/>
  <c r="AB2692" i="1"/>
  <c r="Z2692" i="1"/>
  <c r="O2692" i="1"/>
  <c r="BF2692" i="1" s="1"/>
  <c r="L2692" i="1"/>
  <c r="AL2692" i="1" s="1"/>
  <c r="BW2691" i="1"/>
  <c r="BJ2691" i="1"/>
  <c r="BD2691" i="1"/>
  <c r="AP2691" i="1"/>
  <c r="BI2691" i="1" s="1"/>
  <c r="AG2691" i="1" s="1"/>
  <c r="AO2691" i="1"/>
  <c r="AK2691" i="1"/>
  <c r="AJ2691" i="1"/>
  <c r="AH2691" i="1"/>
  <c r="AE2691" i="1"/>
  <c r="AD2691" i="1"/>
  <c r="AC2691" i="1"/>
  <c r="AB2691" i="1"/>
  <c r="Z2691" i="1"/>
  <c r="O2691" i="1"/>
  <c r="BF2691" i="1" s="1"/>
  <c r="L2691" i="1"/>
  <c r="BW2690" i="1"/>
  <c r="BJ2690" i="1"/>
  <c r="BD2690" i="1"/>
  <c r="AP2690" i="1"/>
  <c r="BI2690" i="1" s="1"/>
  <c r="AG2690" i="1" s="1"/>
  <c r="AO2690" i="1"/>
  <c r="AK2690" i="1"/>
  <c r="AJ2690" i="1"/>
  <c r="AH2690" i="1"/>
  <c r="AE2690" i="1"/>
  <c r="AD2690" i="1"/>
  <c r="AC2690" i="1"/>
  <c r="AB2690" i="1"/>
  <c r="Z2690" i="1"/>
  <c r="O2690" i="1"/>
  <c r="BF2690" i="1" s="1"/>
  <c r="L2690" i="1"/>
  <c r="K2690" i="1"/>
  <c r="BW2689" i="1"/>
  <c r="BJ2689" i="1"/>
  <c r="BD2689" i="1"/>
  <c r="AP2689" i="1"/>
  <c r="AX2689" i="1" s="1"/>
  <c r="AO2689" i="1"/>
  <c r="BH2689" i="1" s="1"/>
  <c r="AF2689" i="1" s="1"/>
  <c r="AK2689" i="1"/>
  <c r="AJ2689" i="1"/>
  <c r="AH2689" i="1"/>
  <c r="AE2689" i="1"/>
  <c r="AD2689" i="1"/>
  <c r="AC2689" i="1"/>
  <c r="AB2689" i="1"/>
  <c r="Z2689" i="1"/>
  <c r="O2689" i="1"/>
  <c r="BF2689" i="1" s="1"/>
  <c r="L2689" i="1"/>
  <c r="AL2689" i="1" s="1"/>
  <c r="BW2688" i="1"/>
  <c r="BJ2688" i="1"/>
  <c r="BD2688" i="1"/>
  <c r="AP2688" i="1"/>
  <c r="BI2688" i="1" s="1"/>
  <c r="AG2688" i="1" s="1"/>
  <c r="AO2688" i="1"/>
  <c r="AW2688" i="1" s="1"/>
  <c r="AK2688" i="1"/>
  <c r="AJ2688" i="1"/>
  <c r="AH2688" i="1"/>
  <c r="AE2688" i="1"/>
  <c r="AD2688" i="1"/>
  <c r="AC2688" i="1"/>
  <c r="AB2688" i="1"/>
  <c r="Z2688" i="1"/>
  <c r="O2688" i="1"/>
  <c r="BF2688" i="1" s="1"/>
  <c r="L2688" i="1"/>
  <c r="AL2688" i="1" s="1"/>
  <c r="BW2687" i="1"/>
  <c r="BJ2687" i="1"/>
  <c r="BD2687" i="1"/>
  <c r="AP2687" i="1"/>
  <c r="BI2687" i="1" s="1"/>
  <c r="AG2687" i="1" s="1"/>
  <c r="AO2687" i="1"/>
  <c r="AK2687" i="1"/>
  <c r="AJ2687" i="1"/>
  <c r="AH2687" i="1"/>
  <c r="AE2687" i="1"/>
  <c r="AD2687" i="1"/>
  <c r="AC2687" i="1"/>
  <c r="AB2687" i="1"/>
  <c r="Z2687" i="1"/>
  <c r="O2687" i="1"/>
  <c r="BF2687" i="1" s="1"/>
  <c r="L2687" i="1"/>
  <c r="K2687" i="1"/>
  <c r="BW2686" i="1"/>
  <c r="BJ2686" i="1"/>
  <c r="BD2686" i="1"/>
  <c r="AP2686" i="1"/>
  <c r="AX2686" i="1" s="1"/>
  <c r="AO2686" i="1"/>
  <c r="BH2686" i="1" s="1"/>
  <c r="AF2686" i="1" s="1"/>
  <c r="AK2686" i="1"/>
  <c r="AJ2686" i="1"/>
  <c r="AH2686" i="1"/>
  <c r="AE2686" i="1"/>
  <c r="AD2686" i="1"/>
  <c r="AC2686" i="1"/>
  <c r="AB2686" i="1"/>
  <c r="Z2686" i="1"/>
  <c r="O2686" i="1"/>
  <c r="BF2686" i="1" s="1"/>
  <c r="L2686" i="1"/>
  <c r="AL2686" i="1" s="1"/>
  <c r="BW2685" i="1"/>
  <c r="BJ2685" i="1"/>
  <c r="BD2685" i="1"/>
  <c r="AP2685" i="1"/>
  <c r="BI2685" i="1" s="1"/>
  <c r="AG2685" i="1" s="1"/>
  <c r="AO2685" i="1"/>
  <c r="AW2685" i="1" s="1"/>
  <c r="AK2685" i="1"/>
  <c r="AJ2685" i="1"/>
  <c r="AH2685" i="1"/>
  <c r="AE2685" i="1"/>
  <c r="AD2685" i="1"/>
  <c r="AC2685" i="1"/>
  <c r="AB2685" i="1"/>
  <c r="Z2685" i="1"/>
  <c r="O2685" i="1"/>
  <c r="BF2685" i="1" s="1"/>
  <c r="L2685" i="1"/>
  <c r="AL2685" i="1" s="1"/>
  <c r="BW2684" i="1"/>
  <c r="BJ2684" i="1"/>
  <c r="BD2684" i="1"/>
  <c r="AP2684" i="1"/>
  <c r="K2684" i="1" s="1"/>
  <c r="AO2684" i="1"/>
  <c r="AW2684" i="1" s="1"/>
  <c r="AK2684" i="1"/>
  <c r="AJ2684" i="1"/>
  <c r="AH2684" i="1"/>
  <c r="AE2684" i="1"/>
  <c r="AD2684" i="1"/>
  <c r="AC2684" i="1"/>
  <c r="AB2684" i="1"/>
  <c r="Z2684" i="1"/>
  <c r="O2684" i="1"/>
  <c r="BF2684" i="1" s="1"/>
  <c r="L2684" i="1"/>
  <c r="BW2683" i="1"/>
  <c r="BJ2683" i="1"/>
  <c r="BD2683" i="1"/>
  <c r="AP2683" i="1"/>
  <c r="AO2683" i="1"/>
  <c r="BH2683" i="1" s="1"/>
  <c r="AF2683" i="1" s="1"/>
  <c r="AK2683" i="1"/>
  <c r="AJ2683" i="1"/>
  <c r="AH2683" i="1"/>
  <c r="AE2683" i="1"/>
  <c r="AD2683" i="1"/>
  <c r="AC2683" i="1"/>
  <c r="AB2683" i="1"/>
  <c r="Z2683" i="1"/>
  <c r="O2683" i="1"/>
  <c r="BF2683" i="1" s="1"/>
  <c r="L2683" i="1"/>
  <c r="BW2682" i="1"/>
  <c r="BJ2682" i="1"/>
  <c r="BD2682" i="1"/>
  <c r="AP2682" i="1"/>
  <c r="BI2682" i="1" s="1"/>
  <c r="AG2682" i="1" s="1"/>
  <c r="AO2682" i="1"/>
  <c r="AW2682" i="1" s="1"/>
  <c r="AK2682" i="1"/>
  <c r="AJ2682" i="1"/>
  <c r="AH2682" i="1"/>
  <c r="AE2682" i="1"/>
  <c r="AD2682" i="1"/>
  <c r="AC2682" i="1"/>
  <c r="AB2682" i="1"/>
  <c r="Z2682" i="1"/>
  <c r="O2682" i="1"/>
  <c r="BF2682" i="1" s="1"/>
  <c r="L2682" i="1"/>
  <c r="BW2681" i="1"/>
  <c r="BJ2681" i="1"/>
  <c r="BD2681" i="1"/>
  <c r="AP2681" i="1"/>
  <c r="BI2681" i="1" s="1"/>
  <c r="AG2681" i="1" s="1"/>
  <c r="AO2681" i="1"/>
  <c r="AK2681" i="1"/>
  <c r="AJ2681" i="1"/>
  <c r="AH2681" i="1"/>
  <c r="AE2681" i="1"/>
  <c r="AD2681" i="1"/>
  <c r="AC2681" i="1"/>
  <c r="AB2681" i="1"/>
  <c r="Z2681" i="1"/>
  <c r="O2681" i="1"/>
  <c r="BF2681" i="1" s="1"/>
  <c r="L2681" i="1"/>
  <c r="BW2680" i="1"/>
  <c r="BJ2680" i="1"/>
  <c r="BD2680" i="1"/>
  <c r="AP2680" i="1"/>
  <c r="AX2680" i="1" s="1"/>
  <c r="AO2680" i="1"/>
  <c r="BH2680" i="1" s="1"/>
  <c r="AF2680" i="1" s="1"/>
  <c r="AK2680" i="1"/>
  <c r="AJ2680" i="1"/>
  <c r="AH2680" i="1"/>
  <c r="AE2680" i="1"/>
  <c r="AD2680" i="1"/>
  <c r="AC2680" i="1"/>
  <c r="AB2680" i="1"/>
  <c r="Z2680" i="1"/>
  <c r="O2680" i="1"/>
  <c r="BF2680" i="1" s="1"/>
  <c r="L2680" i="1"/>
  <c r="BW2679" i="1"/>
  <c r="BJ2679" i="1"/>
  <c r="BD2679" i="1"/>
  <c r="AP2679" i="1"/>
  <c r="BI2679" i="1" s="1"/>
  <c r="AG2679" i="1" s="1"/>
  <c r="AO2679" i="1"/>
  <c r="AW2679" i="1" s="1"/>
  <c r="AK2679" i="1"/>
  <c r="AJ2679" i="1"/>
  <c r="AH2679" i="1"/>
  <c r="AE2679" i="1"/>
  <c r="AD2679" i="1"/>
  <c r="AC2679" i="1"/>
  <c r="AB2679" i="1"/>
  <c r="Z2679" i="1"/>
  <c r="O2679" i="1"/>
  <c r="BF2679" i="1" s="1"/>
  <c r="L2679" i="1"/>
  <c r="AL2679" i="1" s="1"/>
  <c r="BW2678" i="1"/>
  <c r="BJ2678" i="1"/>
  <c r="BD2678" i="1"/>
  <c r="AP2678" i="1"/>
  <c r="BI2678" i="1" s="1"/>
  <c r="AG2678" i="1" s="1"/>
  <c r="AO2678" i="1"/>
  <c r="AK2678" i="1"/>
  <c r="AJ2678" i="1"/>
  <c r="AH2678" i="1"/>
  <c r="AE2678" i="1"/>
  <c r="AD2678" i="1"/>
  <c r="AC2678" i="1"/>
  <c r="AB2678" i="1"/>
  <c r="Z2678" i="1"/>
  <c r="O2678" i="1"/>
  <c r="BF2678" i="1" s="1"/>
  <c r="L2678" i="1"/>
  <c r="K2678" i="1"/>
  <c r="BW2677" i="1"/>
  <c r="BJ2677" i="1"/>
  <c r="BD2677" i="1"/>
  <c r="AP2677" i="1"/>
  <c r="AX2677" i="1" s="1"/>
  <c r="AO2677" i="1"/>
  <c r="AW2677" i="1" s="1"/>
  <c r="AK2677" i="1"/>
  <c r="AJ2677" i="1"/>
  <c r="AH2677" i="1"/>
  <c r="AE2677" i="1"/>
  <c r="AD2677" i="1"/>
  <c r="AC2677" i="1"/>
  <c r="AB2677" i="1"/>
  <c r="Z2677" i="1"/>
  <c r="O2677" i="1"/>
  <c r="BF2677" i="1" s="1"/>
  <c r="L2677" i="1"/>
  <c r="AL2677" i="1" s="1"/>
  <c r="BW2676" i="1"/>
  <c r="BJ2676" i="1"/>
  <c r="BD2676" i="1"/>
  <c r="AP2676" i="1"/>
  <c r="BI2676" i="1" s="1"/>
  <c r="AG2676" i="1" s="1"/>
  <c r="AO2676" i="1"/>
  <c r="AK2676" i="1"/>
  <c r="AJ2676" i="1"/>
  <c r="AH2676" i="1"/>
  <c r="AE2676" i="1"/>
  <c r="AD2676" i="1"/>
  <c r="AC2676" i="1"/>
  <c r="AB2676" i="1"/>
  <c r="Z2676" i="1"/>
  <c r="O2676" i="1"/>
  <c r="BF2676" i="1" s="1"/>
  <c r="L2676" i="1"/>
  <c r="AL2676" i="1" s="1"/>
  <c r="BW2675" i="1"/>
  <c r="BJ2675" i="1"/>
  <c r="BD2675" i="1"/>
  <c r="AP2675" i="1"/>
  <c r="BI2675" i="1" s="1"/>
  <c r="AG2675" i="1" s="1"/>
  <c r="AO2675" i="1"/>
  <c r="AK2675" i="1"/>
  <c r="AJ2675" i="1"/>
  <c r="AH2675" i="1"/>
  <c r="AE2675" i="1"/>
  <c r="AD2675" i="1"/>
  <c r="AC2675" i="1"/>
  <c r="AB2675" i="1"/>
  <c r="Z2675" i="1"/>
  <c r="O2675" i="1"/>
  <c r="BF2675" i="1" s="1"/>
  <c r="L2675" i="1"/>
  <c r="K2675" i="1"/>
  <c r="BW2674" i="1"/>
  <c r="BJ2674" i="1"/>
  <c r="BD2674" i="1"/>
  <c r="AP2674" i="1"/>
  <c r="AX2674" i="1" s="1"/>
  <c r="AO2674" i="1"/>
  <c r="AW2674" i="1" s="1"/>
  <c r="AK2674" i="1"/>
  <c r="AJ2674" i="1"/>
  <c r="AH2674" i="1"/>
  <c r="AE2674" i="1"/>
  <c r="AD2674" i="1"/>
  <c r="AC2674" i="1"/>
  <c r="AB2674" i="1"/>
  <c r="Z2674" i="1"/>
  <c r="O2674" i="1"/>
  <c r="BF2674" i="1" s="1"/>
  <c r="L2674" i="1"/>
  <c r="AL2674" i="1" s="1"/>
  <c r="BW2673" i="1"/>
  <c r="BJ2673" i="1"/>
  <c r="BD2673" i="1"/>
  <c r="AP2673" i="1"/>
  <c r="BI2673" i="1" s="1"/>
  <c r="AG2673" i="1" s="1"/>
  <c r="AO2673" i="1"/>
  <c r="J2673" i="1" s="1"/>
  <c r="AK2673" i="1"/>
  <c r="AJ2673" i="1"/>
  <c r="AH2673" i="1"/>
  <c r="AE2673" i="1"/>
  <c r="AD2673" i="1"/>
  <c r="AC2673" i="1"/>
  <c r="AB2673" i="1"/>
  <c r="Z2673" i="1"/>
  <c r="O2673" i="1"/>
  <c r="BF2673" i="1" s="1"/>
  <c r="L2673" i="1"/>
  <c r="BW2672" i="1"/>
  <c r="BJ2672" i="1"/>
  <c r="BD2672" i="1"/>
  <c r="AP2672" i="1"/>
  <c r="BI2672" i="1" s="1"/>
  <c r="AG2672" i="1" s="1"/>
  <c r="AO2672" i="1"/>
  <c r="AW2672" i="1" s="1"/>
  <c r="AK2672" i="1"/>
  <c r="AJ2672" i="1"/>
  <c r="AH2672" i="1"/>
  <c r="AE2672" i="1"/>
  <c r="AD2672" i="1"/>
  <c r="AC2672" i="1"/>
  <c r="AB2672" i="1"/>
  <c r="Z2672" i="1"/>
  <c r="O2672" i="1"/>
  <c r="BF2672" i="1" s="1"/>
  <c r="L2672" i="1"/>
  <c r="K2672" i="1"/>
  <c r="BW2671" i="1"/>
  <c r="BJ2671" i="1"/>
  <c r="BD2671" i="1"/>
  <c r="AP2671" i="1"/>
  <c r="AX2671" i="1" s="1"/>
  <c r="AO2671" i="1"/>
  <c r="J2671" i="1" s="1"/>
  <c r="AK2671" i="1"/>
  <c r="AJ2671" i="1"/>
  <c r="AH2671" i="1"/>
  <c r="AE2671" i="1"/>
  <c r="AD2671" i="1"/>
  <c r="AC2671" i="1"/>
  <c r="AB2671" i="1"/>
  <c r="Z2671" i="1"/>
  <c r="O2671" i="1"/>
  <c r="BF2671" i="1" s="1"/>
  <c r="L2671" i="1"/>
  <c r="BW2670" i="1"/>
  <c r="BJ2670" i="1"/>
  <c r="BD2670" i="1"/>
  <c r="AP2670" i="1"/>
  <c r="BI2670" i="1" s="1"/>
  <c r="AG2670" i="1" s="1"/>
  <c r="AO2670" i="1"/>
  <c r="AK2670" i="1"/>
  <c r="AJ2670" i="1"/>
  <c r="AH2670" i="1"/>
  <c r="AE2670" i="1"/>
  <c r="AD2670" i="1"/>
  <c r="AC2670" i="1"/>
  <c r="AB2670" i="1"/>
  <c r="Z2670" i="1"/>
  <c r="O2670" i="1"/>
  <c r="BF2670" i="1" s="1"/>
  <c r="L2670" i="1"/>
  <c r="AL2670" i="1" s="1"/>
  <c r="BW2669" i="1"/>
  <c r="BJ2669" i="1"/>
  <c r="BD2669" i="1"/>
  <c r="AP2669" i="1"/>
  <c r="BI2669" i="1" s="1"/>
  <c r="AG2669" i="1" s="1"/>
  <c r="AO2669" i="1"/>
  <c r="AK2669" i="1"/>
  <c r="AJ2669" i="1"/>
  <c r="AH2669" i="1"/>
  <c r="AE2669" i="1"/>
  <c r="AD2669" i="1"/>
  <c r="AC2669" i="1"/>
  <c r="AB2669" i="1"/>
  <c r="Z2669" i="1"/>
  <c r="O2669" i="1"/>
  <c r="BF2669" i="1" s="1"/>
  <c r="L2669" i="1"/>
  <c r="AL2669" i="1" s="1"/>
  <c r="BW2668" i="1"/>
  <c r="BJ2668" i="1"/>
  <c r="BD2668" i="1"/>
  <c r="AP2668" i="1"/>
  <c r="AX2668" i="1" s="1"/>
  <c r="AO2668" i="1"/>
  <c r="J2668" i="1" s="1"/>
  <c r="AK2668" i="1"/>
  <c r="AJ2668" i="1"/>
  <c r="AH2668" i="1"/>
  <c r="AE2668" i="1"/>
  <c r="AD2668" i="1"/>
  <c r="AC2668" i="1"/>
  <c r="AB2668" i="1"/>
  <c r="Z2668" i="1"/>
  <c r="O2668" i="1"/>
  <c r="BF2668" i="1" s="1"/>
  <c r="L2668" i="1"/>
  <c r="AL2668" i="1" s="1"/>
  <c r="BW2667" i="1"/>
  <c r="BJ2667" i="1"/>
  <c r="BD2667" i="1"/>
  <c r="AP2667" i="1"/>
  <c r="AO2667" i="1"/>
  <c r="AK2667" i="1"/>
  <c r="AJ2667" i="1"/>
  <c r="AH2667" i="1"/>
  <c r="AE2667" i="1"/>
  <c r="AD2667" i="1"/>
  <c r="AC2667" i="1"/>
  <c r="AB2667" i="1"/>
  <c r="Z2667" i="1"/>
  <c r="O2667" i="1"/>
  <c r="BF2667" i="1" s="1"/>
  <c r="L2667" i="1"/>
  <c r="AL2667" i="1" s="1"/>
  <c r="BW2666" i="1"/>
  <c r="BJ2666" i="1"/>
  <c r="BD2666" i="1"/>
  <c r="AP2666" i="1"/>
  <c r="K2666" i="1" s="1"/>
  <c r="AO2666" i="1"/>
  <c r="AW2666" i="1" s="1"/>
  <c r="AK2666" i="1"/>
  <c r="AJ2666" i="1"/>
  <c r="AH2666" i="1"/>
  <c r="AE2666" i="1"/>
  <c r="AD2666" i="1"/>
  <c r="AC2666" i="1"/>
  <c r="AB2666" i="1"/>
  <c r="Z2666" i="1"/>
  <c r="O2666" i="1"/>
  <c r="BF2666" i="1" s="1"/>
  <c r="L2666" i="1"/>
  <c r="BW2665" i="1"/>
  <c r="BJ2665" i="1"/>
  <c r="BD2665" i="1"/>
  <c r="AP2665" i="1"/>
  <c r="K2665" i="1" s="1"/>
  <c r="AO2665" i="1"/>
  <c r="AK2665" i="1"/>
  <c r="AJ2665" i="1"/>
  <c r="AH2665" i="1"/>
  <c r="AE2665" i="1"/>
  <c r="AD2665" i="1"/>
  <c r="AC2665" i="1"/>
  <c r="AB2665" i="1"/>
  <c r="Z2665" i="1"/>
  <c r="O2665" i="1"/>
  <c r="BF2665" i="1" s="1"/>
  <c r="L2665" i="1"/>
  <c r="AL2665" i="1" s="1"/>
  <c r="BW2664" i="1"/>
  <c r="BJ2664" i="1"/>
  <c r="BD2664" i="1"/>
  <c r="AP2664" i="1"/>
  <c r="AX2664" i="1" s="1"/>
  <c r="AO2664" i="1"/>
  <c r="AW2664" i="1" s="1"/>
  <c r="AK2664" i="1"/>
  <c r="AJ2664" i="1"/>
  <c r="AH2664" i="1"/>
  <c r="AE2664" i="1"/>
  <c r="AD2664" i="1"/>
  <c r="AC2664" i="1"/>
  <c r="AB2664" i="1"/>
  <c r="Z2664" i="1"/>
  <c r="O2664" i="1"/>
  <c r="BF2664" i="1" s="1"/>
  <c r="L2664" i="1"/>
  <c r="AL2664" i="1" s="1"/>
  <c r="BW2663" i="1"/>
  <c r="BJ2663" i="1"/>
  <c r="BD2663" i="1"/>
  <c r="AP2663" i="1"/>
  <c r="AX2663" i="1" s="1"/>
  <c r="AO2663" i="1"/>
  <c r="AW2663" i="1" s="1"/>
  <c r="AK2663" i="1"/>
  <c r="AJ2663" i="1"/>
  <c r="AH2663" i="1"/>
  <c r="AE2663" i="1"/>
  <c r="AD2663" i="1"/>
  <c r="AC2663" i="1"/>
  <c r="AB2663" i="1"/>
  <c r="Z2663" i="1"/>
  <c r="O2663" i="1"/>
  <c r="BF2663" i="1" s="1"/>
  <c r="L2663" i="1"/>
  <c r="AL2663" i="1" s="1"/>
  <c r="BW2662" i="1"/>
  <c r="BJ2662" i="1"/>
  <c r="BD2662" i="1"/>
  <c r="AP2662" i="1"/>
  <c r="AO2662" i="1"/>
  <c r="AW2662" i="1" s="1"/>
  <c r="AK2662" i="1"/>
  <c r="AJ2662" i="1"/>
  <c r="AH2662" i="1"/>
  <c r="AE2662" i="1"/>
  <c r="AD2662" i="1"/>
  <c r="AC2662" i="1"/>
  <c r="AB2662" i="1"/>
  <c r="Z2662" i="1"/>
  <c r="O2662" i="1"/>
  <c r="BF2662" i="1" s="1"/>
  <c r="L2662" i="1"/>
  <c r="BW2661" i="1"/>
  <c r="BJ2661" i="1"/>
  <c r="BD2661" i="1"/>
  <c r="AP2661" i="1"/>
  <c r="AX2661" i="1" s="1"/>
  <c r="AO2661" i="1"/>
  <c r="AK2661" i="1"/>
  <c r="AJ2661" i="1"/>
  <c r="AH2661" i="1"/>
  <c r="AE2661" i="1"/>
  <c r="AD2661" i="1"/>
  <c r="AC2661" i="1"/>
  <c r="AB2661" i="1"/>
  <c r="Z2661" i="1"/>
  <c r="O2661" i="1"/>
  <c r="BF2661" i="1" s="1"/>
  <c r="L2661" i="1"/>
  <c r="BW2660" i="1"/>
  <c r="BJ2660" i="1"/>
  <c r="BD2660" i="1"/>
  <c r="AP2660" i="1"/>
  <c r="BI2660" i="1" s="1"/>
  <c r="AG2660" i="1" s="1"/>
  <c r="AO2660" i="1"/>
  <c r="AK2660" i="1"/>
  <c r="AJ2660" i="1"/>
  <c r="AH2660" i="1"/>
  <c r="AE2660" i="1"/>
  <c r="AD2660" i="1"/>
  <c r="AC2660" i="1"/>
  <c r="AB2660" i="1"/>
  <c r="Z2660" i="1"/>
  <c r="O2660" i="1"/>
  <c r="BF2660" i="1" s="1"/>
  <c r="L2660" i="1"/>
  <c r="AL2660" i="1" s="1"/>
  <c r="BW2659" i="1"/>
  <c r="BJ2659" i="1"/>
  <c r="BD2659" i="1"/>
  <c r="AP2659" i="1"/>
  <c r="AX2659" i="1" s="1"/>
  <c r="AO2659" i="1"/>
  <c r="BH2659" i="1" s="1"/>
  <c r="AF2659" i="1" s="1"/>
  <c r="AK2659" i="1"/>
  <c r="AJ2659" i="1"/>
  <c r="AH2659" i="1"/>
  <c r="AE2659" i="1"/>
  <c r="AD2659" i="1"/>
  <c r="AC2659" i="1"/>
  <c r="AB2659" i="1"/>
  <c r="Z2659" i="1"/>
  <c r="O2659" i="1"/>
  <c r="BF2659" i="1" s="1"/>
  <c r="L2659" i="1"/>
  <c r="AL2659" i="1" s="1"/>
  <c r="BW2658" i="1"/>
  <c r="BJ2658" i="1"/>
  <c r="BD2658" i="1"/>
  <c r="AP2658" i="1"/>
  <c r="AO2658" i="1"/>
  <c r="BH2658" i="1" s="1"/>
  <c r="AF2658" i="1" s="1"/>
  <c r="AK2658" i="1"/>
  <c r="AJ2658" i="1"/>
  <c r="AH2658" i="1"/>
  <c r="AE2658" i="1"/>
  <c r="AD2658" i="1"/>
  <c r="AC2658" i="1"/>
  <c r="AB2658" i="1"/>
  <c r="Z2658" i="1"/>
  <c r="O2658" i="1"/>
  <c r="BF2658" i="1" s="1"/>
  <c r="L2658" i="1"/>
  <c r="BW2657" i="1"/>
  <c r="BJ2657" i="1"/>
  <c r="BD2657" i="1"/>
  <c r="AP2657" i="1"/>
  <c r="K2657" i="1" s="1"/>
  <c r="AO2657" i="1"/>
  <c r="AW2657" i="1" s="1"/>
  <c r="AK2657" i="1"/>
  <c r="AJ2657" i="1"/>
  <c r="AH2657" i="1"/>
  <c r="AE2657" i="1"/>
  <c r="AD2657" i="1"/>
  <c r="AC2657" i="1"/>
  <c r="AB2657" i="1"/>
  <c r="Z2657" i="1"/>
  <c r="O2657" i="1"/>
  <c r="BF2657" i="1" s="1"/>
  <c r="L2657" i="1"/>
  <c r="BW2656" i="1"/>
  <c r="BJ2656" i="1"/>
  <c r="BD2656" i="1"/>
  <c r="AP2656" i="1"/>
  <c r="BI2656" i="1" s="1"/>
  <c r="AG2656" i="1" s="1"/>
  <c r="AO2656" i="1"/>
  <c r="AW2656" i="1" s="1"/>
  <c r="AK2656" i="1"/>
  <c r="AJ2656" i="1"/>
  <c r="AH2656" i="1"/>
  <c r="AE2656" i="1"/>
  <c r="AD2656" i="1"/>
  <c r="AC2656" i="1"/>
  <c r="AB2656" i="1"/>
  <c r="Z2656" i="1"/>
  <c r="O2656" i="1"/>
  <c r="BF2656" i="1" s="1"/>
  <c r="L2656" i="1"/>
  <c r="AL2656" i="1" s="1"/>
  <c r="K2656" i="1"/>
  <c r="J2656" i="1"/>
  <c r="BW2655" i="1"/>
  <c r="BJ2655" i="1"/>
  <c r="BD2655" i="1"/>
  <c r="AP2655" i="1"/>
  <c r="AO2655" i="1"/>
  <c r="AK2655" i="1"/>
  <c r="AJ2655" i="1"/>
  <c r="AH2655" i="1"/>
  <c r="AE2655" i="1"/>
  <c r="AD2655" i="1"/>
  <c r="AC2655" i="1"/>
  <c r="AB2655" i="1"/>
  <c r="Z2655" i="1"/>
  <c r="O2655" i="1"/>
  <c r="BF2655" i="1" s="1"/>
  <c r="L2655" i="1"/>
  <c r="BW2654" i="1"/>
  <c r="BJ2654" i="1"/>
  <c r="BD2654" i="1"/>
  <c r="AP2654" i="1"/>
  <c r="BI2654" i="1" s="1"/>
  <c r="AG2654" i="1" s="1"/>
  <c r="AO2654" i="1"/>
  <c r="BH2654" i="1" s="1"/>
  <c r="AF2654" i="1" s="1"/>
  <c r="AK2654" i="1"/>
  <c r="AJ2654" i="1"/>
  <c r="AH2654" i="1"/>
  <c r="AE2654" i="1"/>
  <c r="AD2654" i="1"/>
  <c r="AC2654" i="1"/>
  <c r="AB2654" i="1"/>
  <c r="Z2654" i="1"/>
  <c r="O2654" i="1"/>
  <c r="BF2654" i="1" s="1"/>
  <c r="L2654" i="1"/>
  <c r="AL2654" i="1" s="1"/>
  <c r="BW2653" i="1"/>
  <c r="BJ2653" i="1"/>
  <c r="BD2653" i="1"/>
  <c r="AP2653" i="1"/>
  <c r="BI2653" i="1" s="1"/>
  <c r="AG2653" i="1" s="1"/>
  <c r="AO2653" i="1"/>
  <c r="AW2653" i="1" s="1"/>
  <c r="AK2653" i="1"/>
  <c r="AJ2653" i="1"/>
  <c r="AH2653" i="1"/>
  <c r="AE2653" i="1"/>
  <c r="AD2653" i="1"/>
  <c r="AC2653" i="1"/>
  <c r="AB2653" i="1"/>
  <c r="Z2653" i="1"/>
  <c r="O2653" i="1"/>
  <c r="BF2653" i="1" s="1"/>
  <c r="L2653" i="1"/>
  <c r="AL2653" i="1" s="1"/>
  <c r="BW2652" i="1"/>
  <c r="BJ2652" i="1"/>
  <c r="BD2652" i="1"/>
  <c r="AP2652" i="1"/>
  <c r="AO2652" i="1"/>
  <c r="AK2652" i="1"/>
  <c r="AJ2652" i="1"/>
  <c r="AH2652" i="1"/>
  <c r="AE2652" i="1"/>
  <c r="AD2652" i="1"/>
  <c r="AC2652" i="1"/>
  <c r="AB2652" i="1"/>
  <c r="Z2652" i="1"/>
  <c r="O2652" i="1"/>
  <c r="BF2652" i="1" s="1"/>
  <c r="L2652" i="1"/>
  <c r="AL2652" i="1" s="1"/>
  <c r="BW2651" i="1"/>
  <c r="BJ2651" i="1"/>
  <c r="BD2651" i="1"/>
  <c r="AP2651" i="1"/>
  <c r="BI2651" i="1" s="1"/>
  <c r="AG2651" i="1" s="1"/>
  <c r="AO2651" i="1"/>
  <c r="BH2651" i="1" s="1"/>
  <c r="AF2651" i="1" s="1"/>
  <c r="AK2651" i="1"/>
  <c r="AJ2651" i="1"/>
  <c r="AH2651" i="1"/>
  <c r="AE2651" i="1"/>
  <c r="AD2651" i="1"/>
  <c r="AC2651" i="1"/>
  <c r="AB2651" i="1"/>
  <c r="Z2651" i="1"/>
  <c r="O2651" i="1"/>
  <c r="BF2651" i="1" s="1"/>
  <c r="L2651" i="1"/>
  <c r="AL2651" i="1" s="1"/>
  <c r="BW2650" i="1"/>
  <c r="BJ2650" i="1"/>
  <c r="BD2650" i="1"/>
  <c r="AP2650" i="1"/>
  <c r="K2650" i="1" s="1"/>
  <c r="AO2650" i="1"/>
  <c r="AW2650" i="1" s="1"/>
  <c r="AK2650" i="1"/>
  <c r="AJ2650" i="1"/>
  <c r="AH2650" i="1"/>
  <c r="AE2650" i="1"/>
  <c r="AD2650" i="1"/>
  <c r="AC2650" i="1"/>
  <c r="AB2650" i="1"/>
  <c r="Z2650" i="1"/>
  <c r="O2650" i="1"/>
  <c r="BF2650" i="1" s="1"/>
  <c r="L2650" i="1"/>
  <c r="AL2650" i="1" s="1"/>
  <c r="BW2649" i="1"/>
  <c r="BJ2649" i="1"/>
  <c r="BD2649" i="1"/>
  <c r="AP2649" i="1"/>
  <c r="K2649" i="1" s="1"/>
  <c r="AO2649" i="1"/>
  <c r="AK2649" i="1"/>
  <c r="AJ2649" i="1"/>
  <c r="AH2649" i="1"/>
  <c r="AE2649" i="1"/>
  <c r="AD2649" i="1"/>
  <c r="AC2649" i="1"/>
  <c r="AB2649" i="1"/>
  <c r="Z2649" i="1"/>
  <c r="O2649" i="1"/>
  <c r="BF2649" i="1" s="1"/>
  <c r="L2649" i="1"/>
  <c r="BW2648" i="1"/>
  <c r="BJ2648" i="1"/>
  <c r="BD2648" i="1"/>
  <c r="AP2648" i="1"/>
  <c r="BI2648" i="1" s="1"/>
  <c r="AG2648" i="1" s="1"/>
  <c r="AO2648" i="1"/>
  <c r="AK2648" i="1"/>
  <c r="AJ2648" i="1"/>
  <c r="AH2648" i="1"/>
  <c r="AE2648" i="1"/>
  <c r="AD2648" i="1"/>
  <c r="AC2648" i="1"/>
  <c r="AB2648" i="1"/>
  <c r="Z2648" i="1"/>
  <c r="O2648" i="1"/>
  <c r="BF2648" i="1" s="1"/>
  <c r="L2648" i="1"/>
  <c r="AL2648" i="1" s="1"/>
  <c r="BW2647" i="1"/>
  <c r="BJ2647" i="1"/>
  <c r="BD2647" i="1"/>
  <c r="AP2647" i="1"/>
  <c r="BI2647" i="1" s="1"/>
  <c r="AG2647" i="1" s="1"/>
  <c r="AO2647" i="1"/>
  <c r="AW2647" i="1" s="1"/>
  <c r="AK2647" i="1"/>
  <c r="AJ2647" i="1"/>
  <c r="AH2647" i="1"/>
  <c r="AE2647" i="1"/>
  <c r="AD2647" i="1"/>
  <c r="AC2647" i="1"/>
  <c r="AB2647" i="1"/>
  <c r="Z2647" i="1"/>
  <c r="O2647" i="1"/>
  <c r="BF2647" i="1" s="1"/>
  <c r="L2647" i="1"/>
  <c r="AL2647" i="1" s="1"/>
  <c r="K2647" i="1"/>
  <c r="BW2646" i="1"/>
  <c r="BJ2646" i="1"/>
  <c r="BD2646" i="1"/>
  <c r="AP2646" i="1"/>
  <c r="K2646" i="1" s="1"/>
  <c r="AO2646" i="1"/>
  <c r="AK2646" i="1"/>
  <c r="AJ2646" i="1"/>
  <c r="AH2646" i="1"/>
  <c r="AE2646" i="1"/>
  <c r="AD2646" i="1"/>
  <c r="AC2646" i="1"/>
  <c r="AB2646" i="1"/>
  <c r="Z2646" i="1"/>
  <c r="O2646" i="1"/>
  <c r="BF2646" i="1" s="1"/>
  <c r="L2646" i="1"/>
  <c r="BW2645" i="1"/>
  <c r="BJ2645" i="1"/>
  <c r="BD2645" i="1"/>
  <c r="AP2645" i="1"/>
  <c r="AO2645" i="1"/>
  <c r="BH2645" i="1" s="1"/>
  <c r="AF2645" i="1" s="1"/>
  <c r="AK2645" i="1"/>
  <c r="AJ2645" i="1"/>
  <c r="AH2645" i="1"/>
  <c r="AE2645" i="1"/>
  <c r="AD2645" i="1"/>
  <c r="AC2645" i="1"/>
  <c r="AB2645" i="1"/>
  <c r="Z2645" i="1"/>
  <c r="O2645" i="1"/>
  <c r="BF2645" i="1" s="1"/>
  <c r="L2645" i="1"/>
  <c r="AL2645" i="1" s="1"/>
  <c r="BW2644" i="1"/>
  <c r="BJ2644" i="1"/>
  <c r="BD2644" i="1"/>
  <c r="AP2644" i="1"/>
  <c r="AX2644" i="1" s="1"/>
  <c r="AO2644" i="1"/>
  <c r="AW2644" i="1" s="1"/>
  <c r="AK2644" i="1"/>
  <c r="AJ2644" i="1"/>
  <c r="AH2644" i="1"/>
  <c r="AE2644" i="1"/>
  <c r="AD2644" i="1"/>
  <c r="AC2644" i="1"/>
  <c r="AB2644" i="1"/>
  <c r="Z2644" i="1"/>
  <c r="O2644" i="1"/>
  <c r="BF2644" i="1" s="1"/>
  <c r="L2644" i="1"/>
  <c r="AL2644" i="1" s="1"/>
  <c r="BW2643" i="1"/>
  <c r="BJ2643" i="1"/>
  <c r="BD2643" i="1"/>
  <c r="AP2643" i="1"/>
  <c r="AX2643" i="1" s="1"/>
  <c r="AO2643" i="1"/>
  <c r="AK2643" i="1"/>
  <c r="AJ2643" i="1"/>
  <c r="AH2643" i="1"/>
  <c r="AE2643" i="1"/>
  <c r="AD2643" i="1"/>
  <c r="AC2643" i="1"/>
  <c r="AB2643" i="1"/>
  <c r="Z2643" i="1"/>
  <c r="O2643" i="1"/>
  <c r="BF2643" i="1" s="1"/>
  <c r="L2643" i="1"/>
  <c r="AL2643" i="1" s="1"/>
  <c r="BW2642" i="1"/>
  <c r="BJ2642" i="1"/>
  <c r="BD2642" i="1"/>
  <c r="AP2642" i="1"/>
  <c r="AO2642" i="1"/>
  <c r="BH2642" i="1" s="1"/>
  <c r="AF2642" i="1" s="1"/>
  <c r="AK2642" i="1"/>
  <c r="AJ2642" i="1"/>
  <c r="AH2642" i="1"/>
  <c r="AE2642" i="1"/>
  <c r="AD2642" i="1"/>
  <c r="AC2642" i="1"/>
  <c r="AB2642" i="1"/>
  <c r="Z2642" i="1"/>
  <c r="O2642" i="1"/>
  <c r="BF2642" i="1" s="1"/>
  <c r="L2642" i="1"/>
  <c r="AL2642" i="1" s="1"/>
  <c r="BW2641" i="1"/>
  <c r="BJ2641" i="1"/>
  <c r="BD2641" i="1"/>
  <c r="AP2641" i="1"/>
  <c r="BI2641" i="1" s="1"/>
  <c r="AG2641" i="1" s="1"/>
  <c r="AO2641" i="1"/>
  <c r="BH2641" i="1" s="1"/>
  <c r="AF2641" i="1" s="1"/>
  <c r="AK2641" i="1"/>
  <c r="AJ2641" i="1"/>
  <c r="AH2641" i="1"/>
  <c r="AE2641" i="1"/>
  <c r="AD2641" i="1"/>
  <c r="AC2641" i="1"/>
  <c r="AB2641" i="1"/>
  <c r="Z2641" i="1"/>
  <c r="O2641" i="1"/>
  <c r="BF2641" i="1" s="1"/>
  <c r="L2641" i="1"/>
  <c r="AL2641" i="1" s="1"/>
  <c r="BW2640" i="1"/>
  <c r="BJ2640" i="1"/>
  <c r="BD2640" i="1"/>
  <c r="AP2640" i="1"/>
  <c r="AX2640" i="1" s="1"/>
  <c r="AO2640" i="1"/>
  <c r="AK2640" i="1"/>
  <c r="AJ2640" i="1"/>
  <c r="AH2640" i="1"/>
  <c r="AE2640" i="1"/>
  <c r="AD2640" i="1"/>
  <c r="AC2640" i="1"/>
  <c r="AB2640" i="1"/>
  <c r="Z2640" i="1"/>
  <c r="O2640" i="1"/>
  <c r="BF2640" i="1" s="1"/>
  <c r="L2640" i="1"/>
  <c r="AL2640" i="1" s="1"/>
  <c r="BW2639" i="1"/>
  <c r="BJ2639" i="1"/>
  <c r="BD2639" i="1"/>
  <c r="AP2639" i="1"/>
  <c r="AO2639" i="1"/>
  <c r="BH2639" i="1" s="1"/>
  <c r="AF2639" i="1" s="1"/>
  <c r="AK2639" i="1"/>
  <c r="AJ2639" i="1"/>
  <c r="AH2639" i="1"/>
  <c r="AE2639" i="1"/>
  <c r="AD2639" i="1"/>
  <c r="AC2639" i="1"/>
  <c r="AB2639" i="1"/>
  <c r="Z2639" i="1"/>
  <c r="O2639" i="1"/>
  <c r="BF2639" i="1" s="1"/>
  <c r="L2639" i="1"/>
  <c r="AL2639" i="1" s="1"/>
  <c r="BW2638" i="1"/>
  <c r="BJ2638" i="1"/>
  <c r="BD2638" i="1"/>
  <c r="AP2638" i="1"/>
  <c r="BI2638" i="1" s="1"/>
  <c r="AG2638" i="1" s="1"/>
  <c r="AO2638" i="1"/>
  <c r="BH2638" i="1" s="1"/>
  <c r="AF2638" i="1" s="1"/>
  <c r="AK2638" i="1"/>
  <c r="AJ2638" i="1"/>
  <c r="AH2638" i="1"/>
  <c r="AE2638" i="1"/>
  <c r="AD2638" i="1"/>
  <c r="AC2638" i="1"/>
  <c r="AB2638" i="1"/>
  <c r="Z2638" i="1"/>
  <c r="O2638" i="1"/>
  <c r="BF2638" i="1" s="1"/>
  <c r="L2638" i="1"/>
  <c r="AL2638" i="1" s="1"/>
  <c r="BW2637" i="1"/>
  <c r="BJ2637" i="1"/>
  <c r="BD2637" i="1"/>
  <c r="AP2637" i="1"/>
  <c r="BI2637" i="1" s="1"/>
  <c r="AG2637" i="1" s="1"/>
  <c r="AO2637" i="1"/>
  <c r="AK2637" i="1"/>
  <c r="AJ2637" i="1"/>
  <c r="AH2637" i="1"/>
  <c r="AE2637" i="1"/>
  <c r="AD2637" i="1"/>
  <c r="AC2637" i="1"/>
  <c r="AB2637" i="1"/>
  <c r="Z2637" i="1"/>
  <c r="O2637" i="1"/>
  <c r="BF2637" i="1" s="1"/>
  <c r="L2637" i="1"/>
  <c r="AL2637" i="1" s="1"/>
  <c r="BW2636" i="1"/>
  <c r="BJ2636" i="1"/>
  <c r="BD2636" i="1"/>
  <c r="AP2636" i="1"/>
  <c r="AO2636" i="1"/>
  <c r="BH2636" i="1" s="1"/>
  <c r="AF2636" i="1" s="1"/>
  <c r="AK2636" i="1"/>
  <c r="AJ2636" i="1"/>
  <c r="AH2636" i="1"/>
  <c r="AE2636" i="1"/>
  <c r="AD2636" i="1"/>
  <c r="AC2636" i="1"/>
  <c r="AB2636" i="1"/>
  <c r="Z2636" i="1"/>
  <c r="O2636" i="1"/>
  <c r="BF2636" i="1" s="1"/>
  <c r="L2636" i="1"/>
  <c r="AL2636" i="1" s="1"/>
  <c r="BW2635" i="1"/>
  <c r="BJ2635" i="1"/>
  <c r="BD2635" i="1"/>
  <c r="AP2635" i="1"/>
  <c r="BI2635" i="1" s="1"/>
  <c r="AG2635" i="1" s="1"/>
  <c r="AO2635" i="1"/>
  <c r="BH2635" i="1" s="1"/>
  <c r="AF2635" i="1" s="1"/>
  <c r="AK2635" i="1"/>
  <c r="AJ2635" i="1"/>
  <c r="AH2635" i="1"/>
  <c r="AE2635" i="1"/>
  <c r="AD2635" i="1"/>
  <c r="AC2635" i="1"/>
  <c r="AB2635" i="1"/>
  <c r="Z2635" i="1"/>
  <c r="O2635" i="1"/>
  <c r="BF2635" i="1" s="1"/>
  <c r="L2635" i="1"/>
  <c r="BW2634" i="1"/>
  <c r="BJ2634" i="1"/>
  <c r="BD2634" i="1"/>
  <c r="AP2634" i="1"/>
  <c r="BI2634" i="1" s="1"/>
  <c r="AG2634" i="1" s="1"/>
  <c r="AO2634" i="1"/>
  <c r="AK2634" i="1"/>
  <c r="AJ2634" i="1"/>
  <c r="AH2634" i="1"/>
  <c r="AE2634" i="1"/>
  <c r="AD2634" i="1"/>
  <c r="AC2634" i="1"/>
  <c r="AB2634" i="1"/>
  <c r="Z2634" i="1"/>
  <c r="O2634" i="1"/>
  <c r="BF2634" i="1" s="1"/>
  <c r="L2634" i="1"/>
  <c r="AL2634" i="1" s="1"/>
  <c r="BW2633" i="1"/>
  <c r="BJ2633" i="1"/>
  <c r="BD2633" i="1"/>
  <c r="AP2633" i="1"/>
  <c r="AO2633" i="1"/>
  <c r="BH2633" i="1" s="1"/>
  <c r="AF2633" i="1" s="1"/>
  <c r="AK2633" i="1"/>
  <c r="AJ2633" i="1"/>
  <c r="AH2633" i="1"/>
  <c r="AE2633" i="1"/>
  <c r="AD2633" i="1"/>
  <c r="AC2633" i="1"/>
  <c r="AB2633" i="1"/>
  <c r="Z2633" i="1"/>
  <c r="O2633" i="1"/>
  <c r="BF2633" i="1" s="1"/>
  <c r="L2633" i="1"/>
  <c r="AL2633" i="1" s="1"/>
  <c r="BW2632" i="1"/>
  <c r="BJ2632" i="1"/>
  <c r="BD2632" i="1"/>
  <c r="AP2632" i="1"/>
  <c r="K2632" i="1" s="1"/>
  <c r="AO2632" i="1"/>
  <c r="J2632" i="1" s="1"/>
  <c r="AK2632" i="1"/>
  <c r="AJ2632" i="1"/>
  <c r="AH2632" i="1"/>
  <c r="AE2632" i="1"/>
  <c r="AD2632" i="1"/>
  <c r="AC2632" i="1"/>
  <c r="AB2632" i="1"/>
  <c r="Z2632" i="1"/>
  <c r="O2632" i="1"/>
  <c r="BF2632" i="1" s="1"/>
  <c r="L2632" i="1"/>
  <c r="BW2631" i="1"/>
  <c r="BJ2631" i="1"/>
  <c r="BD2631" i="1"/>
  <c r="AP2631" i="1"/>
  <c r="K2631" i="1" s="1"/>
  <c r="AO2631" i="1"/>
  <c r="AK2631" i="1"/>
  <c r="AJ2631" i="1"/>
  <c r="AH2631" i="1"/>
  <c r="AE2631" i="1"/>
  <c r="AD2631" i="1"/>
  <c r="AC2631" i="1"/>
  <c r="AB2631" i="1"/>
  <c r="Z2631" i="1"/>
  <c r="O2631" i="1"/>
  <c r="BF2631" i="1" s="1"/>
  <c r="L2631" i="1"/>
  <c r="AL2631" i="1" s="1"/>
  <c r="BW2630" i="1"/>
  <c r="BJ2630" i="1"/>
  <c r="BD2630" i="1"/>
  <c r="AP2630" i="1"/>
  <c r="AO2630" i="1"/>
  <c r="BH2630" i="1" s="1"/>
  <c r="AF2630" i="1" s="1"/>
  <c r="AK2630" i="1"/>
  <c r="AJ2630" i="1"/>
  <c r="AH2630" i="1"/>
  <c r="AE2630" i="1"/>
  <c r="AD2630" i="1"/>
  <c r="AC2630" i="1"/>
  <c r="AB2630" i="1"/>
  <c r="Z2630" i="1"/>
  <c r="O2630" i="1"/>
  <c r="BF2630" i="1" s="1"/>
  <c r="L2630" i="1"/>
  <c r="AL2630" i="1" s="1"/>
  <c r="BW2629" i="1"/>
  <c r="BJ2629" i="1"/>
  <c r="BD2629" i="1"/>
  <c r="AP2629" i="1"/>
  <c r="AX2629" i="1" s="1"/>
  <c r="AO2629" i="1"/>
  <c r="J2629" i="1" s="1"/>
  <c r="AK2629" i="1"/>
  <c r="AJ2629" i="1"/>
  <c r="AH2629" i="1"/>
  <c r="AE2629" i="1"/>
  <c r="AD2629" i="1"/>
  <c r="AC2629" i="1"/>
  <c r="AB2629" i="1"/>
  <c r="Z2629" i="1"/>
  <c r="O2629" i="1"/>
  <c r="BF2629" i="1" s="1"/>
  <c r="L2629" i="1"/>
  <c r="BW2628" i="1"/>
  <c r="BJ2628" i="1"/>
  <c r="BD2628" i="1"/>
  <c r="AP2628" i="1"/>
  <c r="K2628" i="1" s="1"/>
  <c r="AO2628" i="1"/>
  <c r="AK2628" i="1"/>
  <c r="AJ2628" i="1"/>
  <c r="AH2628" i="1"/>
  <c r="AE2628" i="1"/>
  <c r="AD2628" i="1"/>
  <c r="AC2628" i="1"/>
  <c r="AB2628" i="1"/>
  <c r="Z2628" i="1"/>
  <c r="O2628" i="1"/>
  <c r="BF2628" i="1" s="1"/>
  <c r="L2628" i="1"/>
  <c r="BW2627" i="1"/>
  <c r="BJ2627" i="1"/>
  <c r="BD2627" i="1"/>
  <c r="AP2627" i="1"/>
  <c r="AX2627" i="1" s="1"/>
  <c r="AO2627" i="1"/>
  <c r="AW2627" i="1" s="1"/>
  <c r="AK2627" i="1"/>
  <c r="AJ2627" i="1"/>
  <c r="AH2627" i="1"/>
  <c r="AE2627" i="1"/>
  <c r="AD2627" i="1"/>
  <c r="AC2627" i="1"/>
  <c r="AB2627" i="1"/>
  <c r="Z2627" i="1"/>
  <c r="O2627" i="1"/>
  <c r="BF2627" i="1" s="1"/>
  <c r="L2627" i="1"/>
  <c r="AL2627" i="1" s="1"/>
  <c r="BW2626" i="1"/>
  <c r="BJ2626" i="1"/>
  <c r="BD2626" i="1"/>
  <c r="AP2626" i="1"/>
  <c r="AX2626" i="1" s="1"/>
  <c r="AO2626" i="1"/>
  <c r="AW2626" i="1" s="1"/>
  <c r="AK2626" i="1"/>
  <c r="AJ2626" i="1"/>
  <c r="AH2626" i="1"/>
  <c r="AE2626" i="1"/>
  <c r="AD2626" i="1"/>
  <c r="AC2626" i="1"/>
  <c r="AB2626" i="1"/>
  <c r="Z2626" i="1"/>
  <c r="O2626" i="1"/>
  <c r="BF2626" i="1" s="1"/>
  <c r="L2626" i="1"/>
  <c r="AL2626" i="1" s="1"/>
  <c r="BW2625" i="1"/>
  <c r="BJ2625" i="1"/>
  <c r="BD2625" i="1"/>
  <c r="AP2625" i="1"/>
  <c r="AX2625" i="1" s="1"/>
  <c r="AO2625" i="1"/>
  <c r="BH2625" i="1" s="1"/>
  <c r="AF2625" i="1" s="1"/>
  <c r="AK2625" i="1"/>
  <c r="AJ2625" i="1"/>
  <c r="AH2625" i="1"/>
  <c r="AE2625" i="1"/>
  <c r="AD2625" i="1"/>
  <c r="AC2625" i="1"/>
  <c r="AB2625" i="1"/>
  <c r="Z2625" i="1"/>
  <c r="O2625" i="1"/>
  <c r="BF2625" i="1" s="1"/>
  <c r="L2625" i="1"/>
  <c r="AL2625" i="1" s="1"/>
  <c r="BW2624" i="1"/>
  <c r="BJ2624" i="1"/>
  <c r="BD2624" i="1"/>
  <c r="AP2624" i="1"/>
  <c r="AX2624" i="1" s="1"/>
  <c r="AO2624" i="1"/>
  <c r="AK2624" i="1"/>
  <c r="AJ2624" i="1"/>
  <c r="AH2624" i="1"/>
  <c r="AE2624" i="1"/>
  <c r="AD2624" i="1"/>
  <c r="AC2624" i="1"/>
  <c r="AB2624" i="1"/>
  <c r="Z2624" i="1"/>
  <c r="O2624" i="1"/>
  <c r="BF2624" i="1" s="1"/>
  <c r="L2624" i="1"/>
  <c r="BW2623" i="1"/>
  <c r="BJ2623" i="1"/>
  <c r="BD2623" i="1"/>
  <c r="AP2623" i="1"/>
  <c r="AX2623" i="1" s="1"/>
  <c r="AO2623" i="1"/>
  <c r="J2623" i="1" s="1"/>
  <c r="AK2623" i="1"/>
  <c r="AJ2623" i="1"/>
  <c r="AH2623" i="1"/>
  <c r="AE2623" i="1"/>
  <c r="AD2623" i="1"/>
  <c r="AC2623" i="1"/>
  <c r="AB2623" i="1"/>
  <c r="Z2623" i="1"/>
  <c r="O2623" i="1"/>
  <c r="BF2623" i="1" s="1"/>
  <c r="L2623" i="1"/>
  <c r="AL2623" i="1" s="1"/>
  <c r="BW2622" i="1"/>
  <c r="BJ2622" i="1"/>
  <c r="BD2622" i="1"/>
  <c r="AP2622" i="1"/>
  <c r="AX2622" i="1" s="1"/>
  <c r="AO2622" i="1"/>
  <c r="AW2622" i="1" s="1"/>
  <c r="AK2622" i="1"/>
  <c r="AJ2622" i="1"/>
  <c r="AH2622" i="1"/>
  <c r="AE2622" i="1"/>
  <c r="AD2622" i="1"/>
  <c r="AC2622" i="1"/>
  <c r="AB2622" i="1"/>
  <c r="Z2622" i="1"/>
  <c r="O2622" i="1"/>
  <c r="BF2622" i="1" s="1"/>
  <c r="L2622" i="1"/>
  <c r="BW2621" i="1"/>
  <c r="BJ2621" i="1"/>
  <c r="BD2621" i="1"/>
  <c r="AP2621" i="1"/>
  <c r="AO2621" i="1"/>
  <c r="AW2621" i="1" s="1"/>
  <c r="AK2621" i="1"/>
  <c r="AJ2621" i="1"/>
  <c r="AH2621" i="1"/>
  <c r="AE2621" i="1"/>
  <c r="AD2621" i="1"/>
  <c r="AC2621" i="1"/>
  <c r="AB2621" i="1"/>
  <c r="Z2621" i="1"/>
  <c r="O2621" i="1"/>
  <c r="BF2621" i="1" s="1"/>
  <c r="L2621" i="1"/>
  <c r="BW2620" i="1"/>
  <c r="BJ2620" i="1"/>
  <c r="BD2620" i="1"/>
  <c r="AP2620" i="1"/>
  <c r="AX2620" i="1" s="1"/>
  <c r="AO2620" i="1"/>
  <c r="AK2620" i="1"/>
  <c r="AJ2620" i="1"/>
  <c r="AH2620" i="1"/>
  <c r="AE2620" i="1"/>
  <c r="AD2620" i="1"/>
  <c r="AC2620" i="1"/>
  <c r="AB2620" i="1"/>
  <c r="Z2620" i="1"/>
  <c r="O2620" i="1"/>
  <c r="L2620" i="1"/>
  <c r="K2620" i="1"/>
  <c r="BW2619" i="1"/>
  <c r="BJ2619" i="1"/>
  <c r="BD2619" i="1"/>
  <c r="AP2619" i="1"/>
  <c r="BI2619" i="1" s="1"/>
  <c r="AG2619" i="1" s="1"/>
  <c r="AO2619" i="1"/>
  <c r="AW2619" i="1" s="1"/>
  <c r="AK2619" i="1"/>
  <c r="AJ2619" i="1"/>
  <c r="AH2619" i="1"/>
  <c r="AE2619" i="1"/>
  <c r="AD2619" i="1"/>
  <c r="AC2619" i="1"/>
  <c r="AB2619" i="1"/>
  <c r="Z2619" i="1"/>
  <c r="O2619" i="1"/>
  <c r="BF2619" i="1" s="1"/>
  <c r="L2619" i="1"/>
  <c r="AL2619" i="1" s="1"/>
  <c r="BW2618" i="1"/>
  <c r="BJ2618" i="1"/>
  <c r="BD2618" i="1"/>
  <c r="AP2618" i="1"/>
  <c r="BI2618" i="1" s="1"/>
  <c r="AG2618" i="1" s="1"/>
  <c r="AO2618" i="1"/>
  <c r="BH2618" i="1" s="1"/>
  <c r="AF2618" i="1" s="1"/>
  <c r="AK2618" i="1"/>
  <c r="AJ2618" i="1"/>
  <c r="AH2618" i="1"/>
  <c r="AE2618" i="1"/>
  <c r="AD2618" i="1"/>
  <c r="AC2618" i="1"/>
  <c r="AB2618" i="1"/>
  <c r="Z2618" i="1"/>
  <c r="O2618" i="1"/>
  <c r="BF2618" i="1" s="1"/>
  <c r="L2618" i="1"/>
  <c r="BW2617" i="1"/>
  <c r="BJ2617" i="1"/>
  <c r="BD2617" i="1"/>
  <c r="AP2617" i="1"/>
  <c r="AX2617" i="1" s="1"/>
  <c r="AO2617" i="1"/>
  <c r="BH2617" i="1" s="1"/>
  <c r="AF2617" i="1" s="1"/>
  <c r="AK2617" i="1"/>
  <c r="AJ2617" i="1"/>
  <c r="AH2617" i="1"/>
  <c r="AE2617" i="1"/>
  <c r="AD2617" i="1"/>
  <c r="AC2617" i="1"/>
  <c r="AB2617" i="1"/>
  <c r="Z2617" i="1"/>
  <c r="O2617" i="1"/>
  <c r="BF2617" i="1" s="1"/>
  <c r="L2617" i="1"/>
  <c r="K2617" i="1"/>
  <c r="BW2616" i="1"/>
  <c r="BJ2616" i="1"/>
  <c r="BD2616" i="1"/>
  <c r="AP2616" i="1"/>
  <c r="AO2616" i="1"/>
  <c r="BH2616" i="1" s="1"/>
  <c r="AF2616" i="1" s="1"/>
  <c r="AK2616" i="1"/>
  <c r="AJ2616" i="1"/>
  <c r="AH2616" i="1"/>
  <c r="AE2616" i="1"/>
  <c r="AD2616" i="1"/>
  <c r="AC2616" i="1"/>
  <c r="AB2616" i="1"/>
  <c r="Z2616" i="1"/>
  <c r="O2616" i="1"/>
  <c r="BF2616" i="1" s="1"/>
  <c r="L2616" i="1"/>
  <c r="AL2616" i="1" s="1"/>
  <c r="BW2615" i="1"/>
  <c r="BJ2615" i="1"/>
  <c r="BD2615" i="1"/>
  <c r="AP2615" i="1"/>
  <c r="AX2615" i="1" s="1"/>
  <c r="AO2615" i="1"/>
  <c r="BH2615" i="1" s="1"/>
  <c r="AF2615" i="1" s="1"/>
  <c r="AK2615" i="1"/>
  <c r="AJ2615" i="1"/>
  <c r="AH2615" i="1"/>
  <c r="AE2615" i="1"/>
  <c r="AD2615" i="1"/>
  <c r="AC2615" i="1"/>
  <c r="AB2615" i="1"/>
  <c r="Z2615" i="1"/>
  <c r="O2615" i="1"/>
  <c r="BF2615" i="1" s="1"/>
  <c r="L2615" i="1"/>
  <c r="AL2615" i="1" s="1"/>
  <c r="BW2614" i="1"/>
  <c r="BJ2614" i="1"/>
  <c r="BD2614" i="1"/>
  <c r="AP2614" i="1"/>
  <c r="AX2614" i="1" s="1"/>
  <c r="AO2614" i="1"/>
  <c r="BH2614" i="1" s="1"/>
  <c r="AF2614" i="1" s="1"/>
  <c r="AK2614" i="1"/>
  <c r="AJ2614" i="1"/>
  <c r="AH2614" i="1"/>
  <c r="AE2614" i="1"/>
  <c r="AD2614" i="1"/>
  <c r="AC2614" i="1"/>
  <c r="AB2614" i="1"/>
  <c r="Z2614" i="1"/>
  <c r="O2614" i="1"/>
  <c r="BF2614" i="1" s="1"/>
  <c r="L2614" i="1"/>
  <c r="BW2613" i="1"/>
  <c r="BJ2613" i="1"/>
  <c r="BD2613" i="1"/>
  <c r="AP2613" i="1"/>
  <c r="AO2613" i="1"/>
  <c r="J2613" i="1" s="1"/>
  <c r="AK2613" i="1"/>
  <c r="AJ2613" i="1"/>
  <c r="AH2613" i="1"/>
  <c r="AE2613" i="1"/>
  <c r="AD2613" i="1"/>
  <c r="AC2613" i="1"/>
  <c r="AB2613" i="1"/>
  <c r="Z2613" i="1"/>
  <c r="O2613" i="1"/>
  <c r="BF2613" i="1" s="1"/>
  <c r="L2613" i="1"/>
  <c r="AL2613" i="1" s="1"/>
  <c r="BW2612" i="1"/>
  <c r="BJ2612" i="1"/>
  <c r="BD2612" i="1"/>
  <c r="AP2612" i="1"/>
  <c r="AX2612" i="1" s="1"/>
  <c r="AO2612" i="1"/>
  <c r="J2612" i="1" s="1"/>
  <c r="AK2612" i="1"/>
  <c r="AJ2612" i="1"/>
  <c r="AH2612" i="1"/>
  <c r="AE2612" i="1"/>
  <c r="AD2612" i="1"/>
  <c r="AC2612" i="1"/>
  <c r="AB2612" i="1"/>
  <c r="Z2612" i="1"/>
  <c r="O2612" i="1"/>
  <c r="BF2612" i="1" s="1"/>
  <c r="L2612" i="1"/>
  <c r="BW2611" i="1"/>
  <c r="BJ2611" i="1"/>
  <c r="BD2611" i="1"/>
  <c r="AP2611" i="1"/>
  <c r="AX2611" i="1" s="1"/>
  <c r="AO2611" i="1"/>
  <c r="BH2611" i="1" s="1"/>
  <c r="AF2611" i="1" s="1"/>
  <c r="AK2611" i="1"/>
  <c r="AJ2611" i="1"/>
  <c r="AH2611" i="1"/>
  <c r="AE2611" i="1"/>
  <c r="AD2611" i="1"/>
  <c r="AC2611" i="1"/>
  <c r="AB2611" i="1"/>
  <c r="Z2611" i="1"/>
  <c r="O2611" i="1"/>
  <c r="BF2611" i="1" s="1"/>
  <c r="L2611" i="1"/>
  <c r="K2611" i="1"/>
  <c r="BW2610" i="1"/>
  <c r="BJ2610" i="1"/>
  <c r="BD2610" i="1"/>
  <c r="AP2610" i="1"/>
  <c r="AO2610" i="1"/>
  <c r="BH2610" i="1" s="1"/>
  <c r="AF2610" i="1" s="1"/>
  <c r="AK2610" i="1"/>
  <c r="AJ2610" i="1"/>
  <c r="AH2610" i="1"/>
  <c r="AE2610" i="1"/>
  <c r="AD2610" i="1"/>
  <c r="AC2610" i="1"/>
  <c r="AB2610" i="1"/>
  <c r="Z2610" i="1"/>
  <c r="O2610" i="1"/>
  <c r="BF2610" i="1" s="1"/>
  <c r="L2610" i="1"/>
  <c r="AL2610" i="1" s="1"/>
  <c r="BW2609" i="1"/>
  <c r="BJ2609" i="1"/>
  <c r="BD2609" i="1"/>
  <c r="AP2609" i="1"/>
  <c r="K2609" i="1" s="1"/>
  <c r="AO2609" i="1"/>
  <c r="J2609" i="1" s="1"/>
  <c r="AK2609" i="1"/>
  <c r="AJ2609" i="1"/>
  <c r="AH2609" i="1"/>
  <c r="AE2609" i="1"/>
  <c r="AD2609" i="1"/>
  <c r="AC2609" i="1"/>
  <c r="AB2609" i="1"/>
  <c r="Z2609" i="1"/>
  <c r="O2609" i="1"/>
  <c r="BF2609" i="1" s="1"/>
  <c r="L2609" i="1"/>
  <c r="AL2609" i="1" s="1"/>
  <c r="BW2608" i="1"/>
  <c r="BJ2608" i="1"/>
  <c r="BD2608" i="1"/>
  <c r="AP2608" i="1"/>
  <c r="AX2608" i="1" s="1"/>
  <c r="AO2608" i="1"/>
  <c r="BH2608" i="1" s="1"/>
  <c r="AF2608" i="1" s="1"/>
  <c r="AK2608" i="1"/>
  <c r="AJ2608" i="1"/>
  <c r="AH2608" i="1"/>
  <c r="AE2608" i="1"/>
  <c r="AD2608" i="1"/>
  <c r="AC2608" i="1"/>
  <c r="AB2608" i="1"/>
  <c r="Z2608" i="1"/>
  <c r="O2608" i="1"/>
  <c r="BF2608" i="1" s="1"/>
  <c r="L2608" i="1"/>
  <c r="BW2607" i="1"/>
  <c r="BJ2607" i="1"/>
  <c r="BD2607" i="1"/>
  <c r="AP2607" i="1"/>
  <c r="AO2607" i="1"/>
  <c r="BH2607" i="1" s="1"/>
  <c r="AF2607" i="1" s="1"/>
  <c r="AK2607" i="1"/>
  <c r="AJ2607" i="1"/>
  <c r="AH2607" i="1"/>
  <c r="AE2607" i="1"/>
  <c r="AD2607" i="1"/>
  <c r="AC2607" i="1"/>
  <c r="AB2607" i="1"/>
  <c r="Z2607" i="1"/>
  <c r="O2607" i="1"/>
  <c r="BF2607" i="1" s="1"/>
  <c r="L2607" i="1"/>
  <c r="BW2606" i="1"/>
  <c r="BJ2606" i="1"/>
  <c r="BD2606" i="1"/>
  <c r="AP2606" i="1"/>
  <c r="AX2606" i="1" s="1"/>
  <c r="AO2606" i="1"/>
  <c r="AK2606" i="1"/>
  <c r="AJ2606" i="1"/>
  <c r="AH2606" i="1"/>
  <c r="AE2606" i="1"/>
  <c r="AD2606" i="1"/>
  <c r="AC2606" i="1"/>
  <c r="AB2606" i="1"/>
  <c r="Z2606" i="1"/>
  <c r="O2606" i="1"/>
  <c r="BF2606" i="1" s="1"/>
  <c r="L2606" i="1"/>
  <c r="AL2606" i="1" s="1"/>
  <c r="BW2605" i="1"/>
  <c r="BJ2605" i="1"/>
  <c r="BD2605" i="1"/>
  <c r="AP2605" i="1"/>
  <c r="AX2605" i="1" s="1"/>
  <c r="AO2605" i="1"/>
  <c r="BH2605" i="1" s="1"/>
  <c r="AF2605" i="1" s="1"/>
  <c r="AK2605" i="1"/>
  <c r="AJ2605" i="1"/>
  <c r="AH2605" i="1"/>
  <c r="AE2605" i="1"/>
  <c r="AD2605" i="1"/>
  <c r="AC2605" i="1"/>
  <c r="AB2605" i="1"/>
  <c r="Z2605" i="1"/>
  <c r="O2605" i="1"/>
  <c r="BF2605" i="1" s="1"/>
  <c r="L2605" i="1"/>
  <c r="BW2604" i="1"/>
  <c r="BJ2604" i="1"/>
  <c r="BD2604" i="1"/>
  <c r="AP2604" i="1"/>
  <c r="AO2604" i="1"/>
  <c r="BH2604" i="1" s="1"/>
  <c r="AF2604" i="1" s="1"/>
  <c r="AK2604" i="1"/>
  <c r="AJ2604" i="1"/>
  <c r="AH2604" i="1"/>
  <c r="AE2604" i="1"/>
  <c r="AD2604" i="1"/>
  <c r="AC2604" i="1"/>
  <c r="AB2604" i="1"/>
  <c r="Z2604" i="1"/>
  <c r="O2604" i="1"/>
  <c r="BF2604" i="1" s="1"/>
  <c r="L2604" i="1"/>
  <c r="BW2603" i="1"/>
  <c r="BJ2603" i="1"/>
  <c r="BD2603" i="1"/>
  <c r="AP2603" i="1"/>
  <c r="AX2603" i="1" s="1"/>
  <c r="AO2603" i="1"/>
  <c r="BH2603" i="1" s="1"/>
  <c r="AF2603" i="1" s="1"/>
  <c r="AK2603" i="1"/>
  <c r="AJ2603" i="1"/>
  <c r="AH2603" i="1"/>
  <c r="AE2603" i="1"/>
  <c r="AD2603" i="1"/>
  <c r="AC2603" i="1"/>
  <c r="AB2603" i="1"/>
  <c r="Z2603" i="1"/>
  <c r="O2603" i="1"/>
  <c r="BF2603" i="1" s="1"/>
  <c r="L2603" i="1"/>
  <c r="AL2603" i="1" s="1"/>
  <c r="K2603" i="1"/>
  <c r="BW2602" i="1"/>
  <c r="BJ2602" i="1"/>
  <c r="BD2602" i="1"/>
  <c r="AP2602" i="1"/>
  <c r="AX2602" i="1" s="1"/>
  <c r="AO2602" i="1"/>
  <c r="BH2602" i="1" s="1"/>
  <c r="AF2602" i="1" s="1"/>
  <c r="AK2602" i="1"/>
  <c r="AJ2602" i="1"/>
  <c r="AH2602" i="1"/>
  <c r="AE2602" i="1"/>
  <c r="AD2602" i="1"/>
  <c r="AC2602" i="1"/>
  <c r="AB2602" i="1"/>
  <c r="Z2602" i="1"/>
  <c r="O2602" i="1"/>
  <c r="BF2602" i="1" s="1"/>
  <c r="L2602" i="1"/>
  <c r="BW2601" i="1"/>
  <c r="BJ2601" i="1"/>
  <c r="BD2601" i="1"/>
  <c r="AP2601" i="1"/>
  <c r="AO2601" i="1"/>
  <c r="AW2601" i="1" s="1"/>
  <c r="AK2601" i="1"/>
  <c r="AJ2601" i="1"/>
  <c r="AH2601" i="1"/>
  <c r="AE2601" i="1"/>
  <c r="AD2601" i="1"/>
  <c r="AC2601" i="1"/>
  <c r="AB2601" i="1"/>
  <c r="Z2601" i="1"/>
  <c r="O2601" i="1"/>
  <c r="BF2601" i="1" s="1"/>
  <c r="L2601" i="1"/>
  <c r="BW2600" i="1"/>
  <c r="BJ2600" i="1"/>
  <c r="BD2600" i="1"/>
  <c r="AP2600" i="1"/>
  <c r="AX2600" i="1" s="1"/>
  <c r="AO2600" i="1"/>
  <c r="BH2600" i="1" s="1"/>
  <c r="AF2600" i="1" s="1"/>
  <c r="AK2600" i="1"/>
  <c r="AJ2600" i="1"/>
  <c r="AH2600" i="1"/>
  <c r="AE2600" i="1"/>
  <c r="AD2600" i="1"/>
  <c r="AC2600" i="1"/>
  <c r="AB2600" i="1"/>
  <c r="Z2600" i="1"/>
  <c r="O2600" i="1"/>
  <c r="BF2600" i="1" s="1"/>
  <c r="L2600" i="1"/>
  <c r="BW2599" i="1"/>
  <c r="BJ2599" i="1"/>
  <c r="BD2599" i="1"/>
  <c r="AP2599" i="1"/>
  <c r="AX2599" i="1" s="1"/>
  <c r="AO2599" i="1"/>
  <c r="BH2599" i="1" s="1"/>
  <c r="AF2599" i="1" s="1"/>
  <c r="AK2599" i="1"/>
  <c r="AJ2599" i="1"/>
  <c r="AH2599" i="1"/>
  <c r="AE2599" i="1"/>
  <c r="AD2599" i="1"/>
  <c r="AC2599" i="1"/>
  <c r="AB2599" i="1"/>
  <c r="Z2599" i="1"/>
  <c r="O2599" i="1"/>
  <c r="BF2599" i="1" s="1"/>
  <c r="L2599" i="1"/>
  <c r="BW2598" i="1"/>
  <c r="BJ2598" i="1"/>
  <c r="BD2598" i="1"/>
  <c r="AP2598" i="1"/>
  <c r="AO2598" i="1"/>
  <c r="BH2598" i="1" s="1"/>
  <c r="AF2598" i="1" s="1"/>
  <c r="AK2598" i="1"/>
  <c r="AJ2598" i="1"/>
  <c r="AH2598" i="1"/>
  <c r="AE2598" i="1"/>
  <c r="AD2598" i="1"/>
  <c r="AC2598" i="1"/>
  <c r="AB2598" i="1"/>
  <c r="Z2598" i="1"/>
  <c r="O2598" i="1"/>
  <c r="BF2598" i="1" s="1"/>
  <c r="L2598" i="1"/>
  <c r="AL2598" i="1" s="1"/>
  <c r="BW2597" i="1"/>
  <c r="BJ2597" i="1"/>
  <c r="BD2597" i="1"/>
  <c r="AP2597" i="1"/>
  <c r="AX2597" i="1" s="1"/>
  <c r="AO2597" i="1"/>
  <c r="BH2597" i="1" s="1"/>
  <c r="AF2597" i="1" s="1"/>
  <c r="AK2597" i="1"/>
  <c r="AJ2597" i="1"/>
  <c r="AH2597" i="1"/>
  <c r="AE2597" i="1"/>
  <c r="AD2597" i="1"/>
  <c r="AC2597" i="1"/>
  <c r="AB2597" i="1"/>
  <c r="Z2597" i="1"/>
  <c r="O2597" i="1"/>
  <c r="BF2597" i="1" s="1"/>
  <c r="L2597" i="1"/>
  <c r="BW2596" i="1"/>
  <c r="BJ2596" i="1"/>
  <c r="BD2596" i="1"/>
  <c r="AP2596" i="1"/>
  <c r="AX2596" i="1" s="1"/>
  <c r="AO2596" i="1"/>
  <c r="AK2596" i="1"/>
  <c r="AJ2596" i="1"/>
  <c r="AH2596" i="1"/>
  <c r="AE2596" i="1"/>
  <c r="AD2596" i="1"/>
  <c r="AC2596" i="1"/>
  <c r="AB2596" i="1"/>
  <c r="Z2596" i="1"/>
  <c r="O2596" i="1"/>
  <c r="BF2596" i="1" s="1"/>
  <c r="L2596" i="1"/>
  <c r="BW2595" i="1"/>
  <c r="BJ2595" i="1"/>
  <c r="BD2595" i="1"/>
  <c r="AP2595" i="1"/>
  <c r="AO2595" i="1"/>
  <c r="J2595" i="1" s="1"/>
  <c r="AK2595" i="1"/>
  <c r="AJ2595" i="1"/>
  <c r="AH2595" i="1"/>
  <c r="AE2595" i="1"/>
  <c r="AD2595" i="1"/>
  <c r="AC2595" i="1"/>
  <c r="AB2595" i="1"/>
  <c r="Z2595" i="1"/>
  <c r="O2595" i="1"/>
  <c r="BF2595" i="1" s="1"/>
  <c r="L2595" i="1"/>
  <c r="AL2595" i="1" s="1"/>
  <c r="BW2594" i="1"/>
  <c r="BJ2594" i="1"/>
  <c r="BD2594" i="1"/>
  <c r="AP2594" i="1"/>
  <c r="AX2594" i="1" s="1"/>
  <c r="AO2594" i="1"/>
  <c r="BH2594" i="1" s="1"/>
  <c r="AF2594" i="1" s="1"/>
  <c r="AK2594" i="1"/>
  <c r="AJ2594" i="1"/>
  <c r="AH2594" i="1"/>
  <c r="AE2594" i="1"/>
  <c r="AD2594" i="1"/>
  <c r="AC2594" i="1"/>
  <c r="AB2594" i="1"/>
  <c r="Z2594" i="1"/>
  <c r="O2594" i="1"/>
  <c r="BF2594" i="1" s="1"/>
  <c r="L2594" i="1"/>
  <c r="BW2593" i="1"/>
  <c r="BJ2593" i="1"/>
  <c r="BD2593" i="1"/>
  <c r="AP2593" i="1"/>
  <c r="AX2593" i="1" s="1"/>
  <c r="AO2593" i="1"/>
  <c r="BH2593" i="1" s="1"/>
  <c r="AF2593" i="1" s="1"/>
  <c r="AK2593" i="1"/>
  <c r="AJ2593" i="1"/>
  <c r="AH2593" i="1"/>
  <c r="AE2593" i="1"/>
  <c r="AD2593" i="1"/>
  <c r="AC2593" i="1"/>
  <c r="AB2593" i="1"/>
  <c r="Z2593" i="1"/>
  <c r="O2593" i="1"/>
  <c r="BF2593" i="1" s="1"/>
  <c r="L2593" i="1"/>
  <c r="BW2592" i="1"/>
  <c r="BJ2592" i="1"/>
  <c r="BD2592" i="1"/>
  <c r="AP2592" i="1"/>
  <c r="AO2592" i="1"/>
  <c r="J2592" i="1" s="1"/>
  <c r="AK2592" i="1"/>
  <c r="AJ2592" i="1"/>
  <c r="AH2592" i="1"/>
  <c r="AE2592" i="1"/>
  <c r="AD2592" i="1"/>
  <c r="AC2592" i="1"/>
  <c r="AB2592" i="1"/>
  <c r="Z2592" i="1"/>
  <c r="O2592" i="1"/>
  <c r="BF2592" i="1" s="1"/>
  <c r="L2592" i="1"/>
  <c r="AL2592" i="1" s="1"/>
  <c r="BW2591" i="1"/>
  <c r="BJ2591" i="1"/>
  <c r="BD2591" i="1"/>
  <c r="AP2591" i="1"/>
  <c r="AX2591" i="1" s="1"/>
  <c r="AO2591" i="1"/>
  <c r="BH2591" i="1" s="1"/>
  <c r="AF2591" i="1" s="1"/>
  <c r="AK2591" i="1"/>
  <c r="AJ2591" i="1"/>
  <c r="AH2591" i="1"/>
  <c r="AE2591" i="1"/>
  <c r="AD2591" i="1"/>
  <c r="AC2591" i="1"/>
  <c r="AB2591" i="1"/>
  <c r="Z2591" i="1"/>
  <c r="O2591" i="1"/>
  <c r="BF2591" i="1" s="1"/>
  <c r="L2591" i="1"/>
  <c r="BW2590" i="1"/>
  <c r="BJ2590" i="1"/>
  <c r="BD2590" i="1"/>
  <c r="AP2590" i="1"/>
  <c r="AX2590" i="1" s="1"/>
  <c r="AO2590" i="1"/>
  <c r="BH2590" i="1" s="1"/>
  <c r="AF2590" i="1" s="1"/>
  <c r="AK2590" i="1"/>
  <c r="AJ2590" i="1"/>
  <c r="AH2590" i="1"/>
  <c r="AE2590" i="1"/>
  <c r="AD2590" i="1"/>
  <c r="AC2590" i="1"/>
  <c r="AB2590" i="1"/>
  <c r="Z2590" i="1"/>
  <c r="O2590" i="1"/>
  <c r="BF2590" i="1" s="1"/>
  <c r="L2590" i="1"/>
  <c r="K2590" i="1"/>
  <c r="BW2589" i="1"/>
  <c r="BJ2589" i="1"/>
  <c r="BD2589" i="1"/>
  <c r="AP2589" i="1"/>
  <c r="AO2589" i="1"/>
  <c r="AW2589" i="1" s="1"/>
  <c r="AK2589" i="1"/>
  <c r="AJ2589" i="1"/>
  <c r="AH2589" i="1"/>
  <c r="AE2589" i="1"/>
  <c r="AD2589" i="1"/>
  <c r="AC2589" i="1"/>
  <c r="AB2589" i="1"/>
  <c r="Z2589" i="1"/>
  <c r="O2589" i="1"/>
  <c r="BF2589" i="1" s="1"/>
  <c r="L2589" i="1"/>
  <c r="BW2588" i="1"/>
  <c r="BJ2588" i="1"/>
  <c r="BD2588" i="1"/>
  <c r="AP2588" i="1"/>
  <c r="AX2588" i="1" s="1"/>
  <c r="AO2588" i="1"/>
  <c r="BH2588" i="1" s="1"/>
  <c r="AF2588" i="1" s="1"/>
  <c r="AK2588" i="1"/>
  <c r="AJ2588" i="1"/>
  <c r="AH2588" i="1"/>
  <c r="AE2588" i="1"/>
  <c r="AD2588" i="1"/>
  <c r="AC2588" i="1"/>
  <c r="AB2588" i="1"/>
  <c r="Z2588" i="1"/>
  <c r="O2588" i="1"/>
  <c r="BF2588" i="1" s="1"/>
  <c r="L2588" i="1"/>
  <c r="K2588" i="1"/>
  <c r="BW2587" i="1"/>
  <c r="BJ2587" i="1"/>
  <c r="BD2587" i="1"/>
  <c r="AP2587" i="1"/>
  <c r="AX2587" i="1" s="1"/>
  <c r="AO2587" i="1"/>
  <c r="BH2587" i="1" s="1"/>
  <c r="AF2587" i="1" s="1"/>
  <c r="AK2587" i="1"/>
  <c r="AJ2587" i="1"/>
  <c r="AH2587" i="1"/>
  <c r="AE2587" i="1"/>
  <c r="AD2587" i="1"/>
  <c r="AC2587" i="1"/>
  <c r="AB2587" i="1"/>
  <c r="Z2587" i="1"/>
  <c r="O2587" i="1"/>
  <c r="BF2587" i="1" s="1"/>
  <c r="L2587" i="1"/>
  <c r="BW2586" i="1"/>
  <c r="BJ2586" i="1"/>
  <c r="BD2586" i="1"/>
  <c r="AP2586" i="1"/>
  <c r="AO2586" i="1"/>
  <c r="BH2586" i="1" s="1"/>
  <c r="AF2586" i="1" s="1"/>
  <c r="AK2586" i="1"/>
  <c r="AJ2586" i="1"/>
  <c r="AH2586" i="1"/>
  <c r="AE2586" i="1"/>
  <c r="AD2586" i="1"/>
  <c r="AC2586" i="1"/>
  <c r="AB2586" i="1"/>
  <c r="Z2586" i="1"/>
  <c r="O2586" i="1"/>
  <c r="BF2586" i="1" s="1"/>
  <c r="L2586" i="1"/>
  <c r="BW2585" i="1"/>
  <c r="BJ2585" i="1"/>
  <c r="BD2585" i="1"/>
  <c r="AP2585" i="1"/>
  <c r="AX2585" i="1" s="1"/>
  <c r="AO2585" i="1"/>
  <c r="BH2585" i="1" s="1"/>
  <c r="AF2585" i="1" s="1"/>
  <c r="AK2585" i="1"/>
  <c r="AJ2585" i="1"/>
  <c r="AH2585" i="1"/>
  <c r="AE2585" i="1"/>
  <c r="AD2585" i="1"/>
  <c r="AC2585" i="1"/>
  <c r="AB2585" i="1"/>
  <c r="Z2585" i="1"/>
  <c r="O2585" i="1"/>
  <c r="BF2585" i="1" s="1"/>
  <c r="L2585" i="1"/>
  <c r="AL2585" i="1" s="1"/>
  <c r="BW2584" i="1"/>
  <c r="BJ2584" i="1"/>
  <c r="BD2584" i="1"/>
  <c r="AP2584" i="1"/>
  <c r="AX2584" i="1" s="1"/>
  <c r="AO2584" i="1"/>
  <c r="BH2584" i="1" s="1"/>
  <c r="AF2584" i="1" s="1"/>
  <c r="AK2584" i="1"/>
  <c r="AJ2584" i="1"/>
  <c r="AH2584" i="1"/>
  <c r="AE2584" i="1"/>
  <c r="AD2584" i="1"/>
  <c r="AC2584" i="1"/>
  <c r="AB2584" i="1"/>
  <c r="Z2584" i="1"/>
  <c r="O2584" i="1"/>
  <c r="BF2584" i="1" s="1"/>
  <c r="L2584" i="1"/>
  <c r="BW2583" i="1"/>
  <c r="BJ2583" i="1"/>
  <c r="BD2583" i="1"/>
  <c r="AP2583" i="1"/>
  <c r="AO2583" i="1"/>
  <c r="AK2583" i="1"/>
  <c r="AJ2583" i="1"/>
  <c r="AH2583" i="1"/>
  <c r="AE2583" i="1"/>
  <c r="AD2583" i="1"/>
  <c r="AC2583" i="1"/>
  <c r="AB2583" i="1"/>
  <c r="Z2583" i="1"/>
  <c r="O2583" i="1"/>
  <c r="BF2583" i="1" s="1"/>
  <c r="L2583" i="1"/>
  <c r="BW2582" i="1"/>
  <c r="BJ2582" i="1"/>
  <c r="BD2582" i="1"/>
  <c r="AP2582" i="1"/>
  <c r="AX2582" i="1" s="1"/>
  <c r="AO2582" i="1"/>
  <c r="BH2582" i="1" s="1"/>
  <c r="AF2582" i="1" s="1"/>
  <c r="AK2582" i="1"/>
  <c r="AJ2582" i="1"/>
  <c r="AH2582" i="1"/>
  <c r="AE2582" i="1"/>
  <c r="AD2582" i="1"/>
  <c r="AC2582" i="1"/>
  <c r="AB2582" i="1"/>
  <c r="Z2582" i="1"/>
  <c r="O2582" i="1"/>
  <c r="BF2582" i="1" s="1"/>
  <c r="L2582" i="1"/>
  <c r="AL2582" i="1" s="1"/>
  <c r="BW2581" i="1"/>
  <c r="BJ2581" i="1"/>
  <c r="BD2581" i="1"/>
  <c r="AP2581" i="1"/>
  <c r="AX2581" i="1" s="1"/>
  <c r="AO2581" i="1"/>
  <c r="BH2581" i="1" s="1"/>
  <c r="AF2581" i="1" s="1"/>
  <c r="AK2581" i="1"/>
  <c r="AJ2581" i="1"/>
  <c r="AH2581" i="1"/>
  <c r="AE2581" i="1"/>
  <c r="AD2581" i="1"/>
  <c r="AC2581" i="1"/>
  <c r="AB2581" i="1"/>
  <c r="Z2581" i="1"/>
  <c r="O2581" i="1"/>
  <c r="BF2581" i="1" s="1"/>
  <c r="L2581" i="1"/>
  <c r="BW2580" i="1"/>
  <c r="BJ2580" i="1"/>
  <c r="BD2580" i="1"/>
  <c r="AP2580" i="1"/>
  <c r="AO2580" i="1"/>
  <c r="BH2580" i="1" s="1"/>
  <c r="AF2580" i="1" s="1"/>
  <c r="AK2580" i="1"/>
  <c r="AJ2580" i="1"/>
  <c r="AH2580" i="1"/>
  <c r="AE2580" i="1"/>
  <c r="AD2580" i="1"/>
  <c r="AC2580" i="1"/>
  <c r="AB2580" i="1"/>
  <c r="Z2580" i="1"/>
  <c r="O2580" i="1"/>
  <c r="BF2580" i="1" s="1"/>
  <c r="L2580" i="1"/>
  <c r="AL2580" i="1" s="1"/>
  <c r="BW2579" i="1"/>
  <c r="BJ2579" i="1"/>
  <c r="BD2579" i="1"/>
  <c r="AP2579" i="1"/>
  <c r="AX2579" i="1" s="1"/>
  <c r="AO2579" i="1"/>
  <c r="AW2579" i="1" s="1"/>
  <c r="AK2579" i="1"/>
  <c r="AJ2579" i="1"/>
  <c r="AH2579" i="1"/>
  <c r="AE2579" i="1"/>
  <c r="AD2579" i="1"/>
  <c r="AC2579" i="1"/>
  <c r="AB2579" i="1"/>
  <c r="Z2579" i="1"/>
  <c r="O2579" i="1"/>
  <c r="BF2579" i="1" s="1"/>
  <c r="L2579" i="1"/>
  <c r="AL2579" i="1" s="1"/>
  <c r="BW2578" i="1"/>
  <c r="BJ2578" i="1"/>
  <c r="BD2578" i="1"/>
  <c r="AP2578" i="1"/>
  <c r="AX2578" i="1" s="1"/>
  <c r="AO2578" i="1"/>
  <c r="BH2578" i="1" s="1"/>
  <c r="AF2578" i="1" s="1"/>
  <c r="AK2578" i="1"/>
  <c r="AJ2578" i="1"/>
  <c r="AH2578" i="1"/>
  <c r="AE2578" i="1"/>
  <c r="AD2578" i="1"/>
  <c r="AC2578" i="1"/>
  <c r="AB2578" i="1"/>
  <c r="Z2578" i="1"/>
  <c r="O2578" i="1"/>
  <c r="BF2578" i="1" s="1"/>
  <c r="L2578" i="1"/>
  <c r="BW2577" i="1"/>
  <c r="BJ2577" i="1"/>
  <c r="BD2577" i="1"/>
  <c r="AP2577" i="1"/>
  <c r="AO2577" i="1"/>
  <c r="J2577" i="1" s="1"/>
  <c r="AK2577" i="1"/>
  <c r="AJ2577" i="1"/>
  <c r="AH2577" i="1"/>
  <c r="AE2577" i="1"/>
  <c r="AD2577" i="1"/>
  <c r="AC2577" i="1"/>
  <c r="AB2577" i="1"/>
  <c r="Z2577" i="1"/>
  <c r="O2577" i="1"/>
  <c r="BF2577" i="1" s="1"/>
  <c r="L2577" i="1"/>
  <c r="AL2577" i="1" s="1"/>
  <c r="BW2576" i="1"/>
  <c r="BJ2576" i="1"/>
  <c r="BD2576" i="1"/>
  <c r="AP2576" i="1"/>
  <c r="AX2576" i="1" s="1"/>
  <c r="AO2576" i="1"/>
  <c r="J2576" i="1" s="1"/>
  <c r="AK2576" i="1"/>
  <c r="AJ2576" i="1"/>
  <c r="AH2576" i="1"/>
  <c r="AE2576" i="1"/>
  <c r="AD2576" i="1"/>
  <c r="AC2576" i="1"/>
  <c r="AB2576" i="1"/>
  <c r="Z2576" i="1"/>
  <c r="O2576" i="1"/>
  <c r="BF2576" i="1" s="1"/>
  <c r="L2576" i="1"/>
  <c r="AL2576" i="1" s="1"/>
  <c r="BW2575" i="1"/>
  <c r="BJ2575" i="1"/>
  <c r="BD2575" i="1"/>
  <c r="AP2575" i="1"/>
  <c r="AX2575" i="1" s="1"/>
  <c r="AO2575" i="1"/>
  <c r="BH2575" i="1" s="1"/>
  <c r="AF2575" i="1" s="1"/>
  <c r="AK2575" i="1"/>
  <c r="AJ2575" i="1"/>
  <c r="AH2575" i="1"/>
  <c r="AE2575" i="1"/>
  <c r="AD2575" i="1"/>
  <c r="AC2575" i="1"/>
  <c r="AB2575" i="1"/>
  <c r="Z2575" i="1"/>
  <c r="O2575" i="1"/>
  <c r="BF2575" i="1" s="1"/>
  <c r="L2575" i="1"/>
  <c r="K2575" i="1"/>
  <c r="BW2574" i="1"/>
  <c r="BJ2574" i="1"/>
  <c r="BD2574" i="1"/>
  <c r="AP2574" i="1"/>
  <c r="AO2574" i="1"/>
  <c r="J2574" i="1" s="1"/>
  <c r="AK2574" i="1"/>
  <c r="AJ2574" i="1"/>
  <c r="AH2574" i="1"/>
  <c r="AE2574" i="1"/>
  <c r="AD2574" i="1"/>
  <c r="AC2574" i="1"/>
  <c r="AB2574" i="1"/>
  <c r="Z2574" i="1"/>
  <c r="O2574" i="1"/>
  <c r="BF2574" i="1" s="1"/>
  <c r="L2574" i="1"/>
  <c r="AL2574" i="1" s="1"/>
  <c r="BW2573" i="1"/>
  <c r="BJ2573" i="1"/>
  <c r="BD2573" i="1"/>
  <c r="AP2573" i="1"/>
  <c r="AX2573" i="1" s="1"/>
  <c r="AO2573" i="1"/>
  <c r="J2573" i="1" s="1"/>
  <c r="AK2573" i="1"/>
  <c r="AJ2573" i="1"/>
  <c r="AH2573" i="1"/>
  <c r="AE2573" i="1"/>
  <c r="AD2573" i="1"/>
  <c r="AC2573" i="1"/>
  <c r="AB2573" i="1"/>
  <c r="Z2573" i="1"/>
  <c r="O2573" i="1"/>
  <c r="BF2573" i="1" s="1"/>
  <c r="L2573" i="1"/>
  <c r="AL2573" i="1" s="1"/>
  <c r="BW2572" i="1"/>
  <c r="BJ2572" i="1"/>
  <c r="BD2572" i="1"/>
  <c r="AP2572" i="1"/>
  <c r="AO2572" i="1"/>
  <c r="BH2572" i="1" s="1"/>
  <c r="AF2572" i="1" s="1"/>
  <c r="AK2572" i="1"/>
  <c r="AJ2572" i="1"/>
  <c r="AH2572" i="1"/>
  <c r="AE2572" i="1"/>
  <c r="AD2572" i="1"/>
  <c r="AC2572" i="1"/>
  <c r="AB2572" i="1"/>
  <c r="Z2572" i="1"/>
  <c r="O2572" i="1"/>
  <c r="BF2572" i="1" s="1"/>
  <c r="L2572" i="1"/>
  <c r="BW2571" i="1"/>
  <c r="BJ2571" i="1"/>
  <c r="BD2571" i="1"/>
  <c r="AP2571" i="1"/>
  <c r="AO2571" i="1"/>
  <c r="BH2571" i="1" s="1"/>
  <c r="AF2571" i="1" s="1"/>
  <c r="AK2571" i="1"/>
  <c r="AJ2571" i="1"/>
  <c r="AH2571" i="1"/>
  <c r="AE2571" i="1"/>
  <c r="AD2571" i="1"/>
  <c r="AC2571" i="1"/>
  <c r="AB2571" i="1"/>
  <c r="Z2571" i="1"/>
  <c r="O2571" i="1"/>
  <c r="BF2571" i="1" s="1"/>
  <c r="L2571" i="1"/>
  <c r="AL2571" i="1" s="1"/>
  <c r="BW2570" i="1"/>
  <c r="BJ2570" i="1"/>
  <c r="BD2570" i="1"/>
  <c r="AP2570" i="1"/>
  <c r="AX2570" i="1" s="1"/>
  <c r="AO2570" i="1"/>
  <c r="BH2570" i="1" s="1"/>
  <c r="AF2570" i="1" s="1"/>
  <c r="AK2570" i="1"/>
  <c r="AJ2570" i="1"/>
  <c r="AH2570" i="1"/>
  <c r="AE2570" i="1"/>
  <c r="AD2570" i="1"/>
  <c r="AC2570" i="1"/>
  <c r="AB2570" i="1"/>
  <c r="Z2570" i="1"/>
  <c r="O2570" i="1"/>
  <c r="BF2570" i="1" s="1"/>
  <c r="L2570" i="1"/>
  <c r="AL2570" i="1" s="1"/>
  <c r="BW2569" i="1"/>
  <c r="BJ2569" i="1"/>
  <c r="BD2569" i="1"/>
  <c r="AP2569" i="1"/>
  <c r="AX2569" i="1" s="1"/>
  <c r="AO2569" i="1"/>
  <c r="BH2569" i="1" s="1"/>
  <c r="AF2569" i="1" s="1"/>
  <c r="AK2569" i="1"/>
  <c r="AJ2569" i="1"/>
  <c r="AH2569" i="1"/>
  <c r="AE2569" i="1"/>
  <c r="AD2569" i="1"/>
  <c r="AC2569" i="1"/>
  <c r="AB2569" i="1"/>
  <c r="Z2569" i="1"/>
  <c r="O2569" i="1"/>
  <c r="BF2569" i="1" s="1"/>
  <c r="L2569" i="1"/>
  <c r="BW2568" i="1"/>
  <c r="BJ2568" i="1"/>
  <c r="BD2568" i="1"/>
  <c r="AP2568" i="1"/>
  <c r="AO2568" i="1"/>
  <c r="BH2568" i="1" s="1"/>
  <c r="AF2568" i="1" s="1"/>
  <c r="AK2568" i="1"/>
  <c r="AJ2568" i="1"/>
  <c r="AH2568" i="1"/>
  <c r="AE2568" i="1"/>
  <c r="AD2568" i="1"/>
  <c r="AC2568" i="1"/>
  <c r="AB2568" i="1"/>
  <c r="Z2568" i="1"/>
  <c r="O2568" i="1"/>
  <c r="BF2568" i="1" s="1"/>
  <c r="L2568" i="1"/>
  <c r="BW2567" i="1"/>
  <c r="BJ2567" i="1"/>
  <c r="BD2567" i="1"/>
  <c r="AP2567" i="1"/>
  <c r="AX2567" i="1" s="1"/>
  <c r="AO2567" i="1"/>
  <c r="BH2567" i="1" s="1"/>
  <c r="AF2567" i="1" s="1"/>
  <c r="AK2567" i="1"/>
  <c r="AJ2567" i="1"/>
  <c r="AH2567" i="1"/>
  <c r="AE2567" i="1"/>
  <c r="AD2567" i="1"/>
  <c r="AC2567" i="1"/>
  <c r="AB2567" i="1"/>
  <c r="Z2567" i="1"/>
  <c r="O2567" i="1"/>
  <c r="BF2567" i="1" s="1"/>
  <c r="L2567" i="1"/>
  <c r="AL2567" i="1" s="1"/>
  <c r="BW2566" i="1"/>
  <c r="BJ2566" i="1"/>
  <c r="BD2566" i="1"/>
  <c r="AP2566" i="1"/>
  <c r="AX2566" i="1" s="1"/>
  <c r="AO2566" i="1"/>
  <c r="BH2566" i="1" s="1"/>
  <c r="AF2566" i="1" s="1"/>
  <c r="AK2566" i="1"/>
  <c r="AJ2566" i="1"/>
  <c r="AH2566" i="1"/>
  <c r="AE2566" i="1"/>
  <c r="AD2566" i="1"/>
  <c r="AC2566" i="1"/>
  <c r="AB2566" i="1"/>
  <c r="Z2566" i="1"/>
  <c r="O2566" i="1"/>
  <c r="BF2566" i="1" s="1"/>
  <c r="L2566" i="1"/>
  <c r="BW2565" i="1"/>
  <c r="BJ2565" i="1"/>
  <c r="BD2565" i="1"/>
  <c r="AP2565" i="1"/>
  <c r="AO2565" i="1"/>
  <c r="BH2565" i="1" s="1"/>
  <c r="AF2565" i="1" s="1"/>
  <c r="AK2565" i="1"/>
  <c r="AJ2565" i="1"/>
  <c r="AH2565" i="1"/>
  <c r="AE2565" i="1"/>
  <c r="AD2565" i="1"/>
  <c r="AC2565" i="1"/>
  <c r="AB2565" i="1"/>
  <c r="Z2565" i="1"/>
  <c r="O2565" i="1"/>
  <c r="BF2565" i="1" s="1"/>
  <c r="L2565" i="1"/>
  <c r="AL2565" i="1" s="1"/>
  <c r="BW2564" i="1"/>
  <c r="BJ2564" i="1"/>
  <c r="BD2564" i="1"/>
  <c r="AP2564" i="1"/>
  <c r="AX2564" i="1" s="1"/>
  <c r="AO2564" i="1"/>
  <c r="BH2564" i="1" s="1"/>
  <c r="AF2564" i="1" s="1"/>
  <c r="AK2564" i="1"/>
  <c r="AJ2564" i="1"/>
  <c r="AH2564" i="1"/>
  <c r="AE2564" i="1"/>
  <c r="AD2564" i="1"/>
  <c r="AC2564" i="1"/>
  <c r="AB2564" i="1"/>
  <c r="Z2564" i="1"/>
  <c r="O2564" i="1"/>
  <c r="BF2564" i="1" s="1"/>
  <c r="L2564" i="1"/>
  <c r="BW2563" i="1"/>
  <c r="BJ2563" i="1"/>
  <c r="BD2563" i="1"/>
  <c r="AP2563" i="1"/>
  <c r="AX2563" i="1" s="1"/>
  <c r="AO2563" i="1"/>
  <c r="AK2563" i="1"/>
  <c r="AJ2563" i="1"/>
  <c r="AH2563" i="1"/>
  <c r="AE2563" i="1"/>
  <c r="AD2563" i="1"/>
  <c r="AC2563" i="1"/>
  <c r="AB2563" i="1"/>
  <c r="Z2563" i="1"/>
  <c r="O2563" i="1"/>
  <c r="BF2563" i="1" s="1"/>
  <c r="L2563" i="1"/>
  <c r="BW2562" i="1"/>
  <c r="BJ2562" i="1"/>
  <c r="BD2562" i="1"/>
  <c r="AP2562" i="1"/>
  <c r="AO2562" i="1"/>
  <c r="BH2562" i="1" s="1"/>
  <c r="AF2562" i="1" s="1"/>
  <c r="AK2562" i="1"/>
  <c r="AJ2562" i="1"/>
  <c r="AH2562" i="1"/>
  <c r="AE2562" i="1"/>
  <c r="AD2562" i="1"/>
  <c r="AC2562" i="1"/>
  <c r="AB2562" i="1"/>
  <c r="Z2562" i="1"/>
  <c r="O2562" i="1"/>
  <c r="BF2562" i="1" s="1"/>
  <c r="L2562" i="1"/>
  <c r="AL2562" i="1" s="1"/>
  <c r="BW2561" i="1"/>
  <c r="BJ2561" i="1"/>
  <c r="BD2561" i="1"/>
  <c r="AP2561" i="1"/>
  <c r="AX2561" i="1" s="1"/>
  <c r="AO2561" i="1"/>
  <c r="BH2561" i="1" s="1"/>
  <c r="AF2561" i="1" s="1"/>
  <c r="AK2561" i="1"/>
  <c r="AJ2561" i="1"/>
  <c r="AH2561" i="1"/>
  <c r="AE2561" i="1"/>
  <c r="AD2561" i="1"/>
  <c r="AC2561" i="1"/>
  <c r="AB2561" i="1"/>
  <c r="Z2561" i="1"/>
  <c r="O2561" i="1"/>
  <c r="BF2561" i="1" s="1"/>
  <c r="L2561" i="1"/>
  <c r="AL2561" i="1" s="1"/>
  <c r="BW2560" i="1"/>
  <c r="BJ2560" i="1"/>
  <c r="BD2560" i="1"/>
  <c r="AP2560" i="1"/>
  <c r="AX2560" i="1" s="1"/>
  <c r="AO2560" i="1"/>
  <c r="J2560" i="1" s="1"/>
  <c r="AK2560" i="1"/>
  <c r="AJ2560" i="1"/>
  <c r="AH2560" i="1"/>
  <c r="AE2560" i="1"/>
  <c r="AD2560" i="1"/>
  <c r="AC2560" i="1"/>
  <c r="AB2560" i="1"/>
  <c r="Z2560" i="1"/>
  <c r="O2560" i="1"/>
  <c r="BF2560" i="1" s="1"/>
  <c r="L2560" i="1"/>
  <c r="K2560" i="1"/>
  <c r="BW2559" i="1"/>
  <c r="BJ2559" i="1"/>
  <c r="BD2559" i="1"/>
  <c r="AP2559" i="1"/>
  <c r="AO2559" i="1"/>
  <c r="BH2559" i="1" s="1"/>
  <c r="AF2559" i="1" s="1"/>
  <c r="AK2559" i="1"/>
  <c r="AJ2559" i="1"/>
  <c r="AH2559" i="1"/>
  <c r="AE2559" i="1"/>
  <c r="AD2559" i="1"/>
  <c r="AC2559" i="1"/>
  <c r="AB2559" i="1"/>
  <c r="Z2559" i="1"/>
  <c r="O2559" i="1"/>
  <c r="BF2559" i="1" s="1"/>
  <c r="L2559" i="1"/>
  <c r="AL2559" i="1" s="1"/>
  <c r="BW2558" i="1"/>
  <c r="BJ2558" i="1"/>
  <c r="BD2558" i="1"/>
  <c r="AP2558" i="1"/>
  <c r="AX2558" i="1" s="1"/>
  <c r="AO2558" i="1"/>
  <c r="BH2558" i="1" s="1"/>
  <c r="AF2558" i="1" s="1"/>
  <c r="AK2558" i="1"/>
  <c r="AJ2558" i="1"/>
  <c r="AH2558" i="1"/>
  <c r="AE2558" i="1"/>
  <c r="AD2558" i="1"/>
  <c r="AC2558" i="1"/>
  <c r="AB2558" i="1"/>
  <c r="Z2558" i="1"/>
  <c r="O2558" i="1"/>
  <c r="BF2558" i="1" s="1"/>
  <c r="L2558" i="1"/>
  <c r="BW2557" i="1"/>
  <c r="BJ2557" i="1"/>
  <c r="BD2557" i="1"/>
  <c r="AP2557" i="1"/>
  <c r="AX2557" i="1" s="1"/>
  <c r="AO2557" i="1"/>
  <c r="AW2557" i="1" s="1"/>
  <c r="AK2557" i="1"/>
  <c r="AJ2557" i="1"/>
  <c r="AH2557" i="1"/>
  <c r="AE2557" i="1"/>
  <c r="AD2557" i="1"/>
  <c r="AC2557" i="1"/>
  <c r="AB2557" i="1"/>
  <c r="Z2557" i="1"/>
  <c r="O2557" i="1"/>
  <c r="BF2557" i="1" s="1"/>
  <c r="L2557" i="1"/>
  <c r="BW2556" i="1"/>
  <c r="BJ2556" i="1"/>
  <c r="BD2556" i="1"/>
  <c r="AP2556" i="1"/>
  <c r="AO2556" i="1"/>
  <c r="BH2556" i="1" s="1"/>
  <c r="AF2556" i="1" s="1"/>
  <c r="AK2556" i="1"/>
  <c r="AJ2556" i="1"/>
  <c r="AH2556" i="1"/>
  <c r="AE2556" i="1"/>
  <c r="AD2556" i="1"/>
  <c r="AC2556" i="1"/>
  <c r="AB2556" i="1"/>
  <c r="Z2556" i="1"/>
  <c r="O2556" i="1"/>
  <c r="BF2556" i="1" s="1"/>
  <c r="L2556" i="1"/>
  <c r="AL2556" i="1" s="1"/>
  <c r="BW2555" i="1"/>
  <c r="BJ2555" i="1"/>
  <c r="BD2555" i="1"/>
  <c r="AP2555" i="1"/>
  <c r="AX2555" i="1" s="1"/>
  <c r="AO2555" i="1"/>
  <c r="BH2555" i="1" s="1"/>
  <c r="AF2555" i="1" s="1"/>
  <c r="AK2555" i="1"/>
  <c r="AJ2555" i="1"/>
  <c r="AH2555" i="1"/>
  <c r="AE2555" i="1"/>
  <c r="AD2555" i="1"/>
  <c r="AC2555" i="1"/>
  <c r="AB2555" i="1"/>
  <c r="Z2555" i="1"/>
  <c r="O2555" i="1"/>
  <c r="BF2555" i="1" s="1"/>
  <c r="L2555" i="1"/>
  <c r="K2555" i="1"/>
  <c r="BW2554" i="1"/>
  <c r="BJ2554" i="1"/>
  <c r="BD2554" i="1"/>
  <c r="AP2554" i="1"/>
  <c r="AX2554" i="1" s="1"/>
  <c r="AO2554" i="1"/>
  <c r="BH2554" i="1" s="1"/>
  <c r="AF2554" i="1" s="1"/>
  <c r="AK2554" i="1"/>
  <c r="AJ2554" i="1"/>
  <c r="AH2554" i="1"/>
  <c r="AE2554" i="1"/>
  <c r="AD2554" i="1"/>
  <c r="AC2554" i="1"/>
  <c r="AB2554" i="1"/>
  <c r="Z2554" i="1"/>
  <c r="O2554" i="1"/>
  <c r="BF2554" i="1" s="1"/>
  <c r="L2554" i="1"/>
  <c r="BW2553" i="1"/>
  <c r="BJ2553" i="1"/>
  <c r="BD2553" i="1"/>
  <c r="AP2553" i="1"/>
  <c r="AO2553" i="1"/>
  <c r="BH2553" i="1" s="1"/>
  <c r="AF2553" i="1" s="1"/>
  <c r="AK2553" i="1"/>
  <c r="AJ2553" i="1"/>
  <c r="AH2553" i="1"/>
  <c r="AE2553" i="1"/>
  <c r="AD2553" i="1"/>
  <c r="AC2553" i="1"/>
  <c r="AB2553" i="1"/>
  <c r="Z2553" i="1"/>
  <c r="O2553" i="1"/>
  <c r="BF2553" i="1" s="1"/>
  <c r="L2553" i="1"/>
  <c r="AL2553" i="1" s="1"/>
  <c r="BW2552" i="1"/>
  <c r="BJ2552" i="1"/>
  <c r="BD2552" i="1"/>
  <c r="AP2552" i="1"/>
  <c r="AX2552" i="1" s="1"/>
  <c r="AO2552" i="1"/>
  <c r="BH2552" i="1" s="1"/>
  <c r="AF2552" i="1" s="1"/>
  <c r="AK2552" i="1"/>
  <c r="AJ2552" i="1"/>
  <c r="AH2552" i="1"/>
  <c r="AE2552" i="1"/>
  <c r="AD2552" i="1"/>
  <c r="AC2552" i="1"/>
  <c r="AB2552" i="1"/>
  <c r="Z2552" i="1"/>
  <c r="O2552" i="1"/>
  <c r="BF2552" i="1" s="1"/>
  <c r="L2552" i="1"/>
  <c r="BW2551" i="1"/>
  <c r="BJ2551" i="1"/>
  <c r="BD2551" i="1"/>
  <c r="AP2551" i="1"/>
  <c r="AX2551" i="1" s="1"/>
  <c r="AO2551" i="1"/>
  <c r="BH2551" i="1" s="1"/>
  <c r="AF2551" i="1" s="1"/>
  <c r="AK2551" i="1"/>
  <c r="AJ2551" i="1"/>
  <c r="AH2551" i="1"/>
  <c r="AE2551" i="1"/>
  <c r="AD2551" i="1"/>
  <c r="AC2551" i="1"/>
  <c r="AB2551" i="1"/>
  <c r="Z2551" i="1"/>
  <c r="O2551" i="1"/>
  <c r="BF2551" i="1" s="1"/>
  <c r="L2551" i="1"/>
  <c r="BW2550" i="1"/>
  <c r="BJ2550" i="1"/>
  <c r="BD2550" i="1"/>
  <c r="AP2550" i="1"/>
  <c r="AX2550" i="1" s="1"/>
  <c r="AO2550" i="1"/>
  <c r="BH2550" i="1" s="1"/>
  <c r="AF2550" i="1" s="1"/>
  <c r="AK2550" i="1"/>
  <c r="AJ2550" i="1"/>
  <c r="AH2550" i="1"/>
  <c r="AE2550" i="1"/>
  <c r="AD2550" i="1"/>
  <c r="AC2550" i="1"/>
  <c r="AB2550" i="1"/>
  <c r="Z2550" i="1"/>
  <c r="O2550" i="1"/>
  <c r="BF2550" i="1" s="1"/>
  <c r="L2550" i="1"/>
  <c r="BW2549" i="1"/>
  <c r="BJ2549" i="1"/>
  <c r="BD2549" i="1"/>
  <c r="AP2549" i="1"/>
  <c r="AX2549" i="1" s="1"/>
  <c r="AO2549" i="1"/>
  <c r="BH2549" i="1" s="1"/>
  <c r="AF2549" i="1" s="1"/>
  <c r="AK2549" i="1"/>
  <c r="AJ2549" i="1"/>
  <c r="AH2549" i="1"/>
  <c r="AE2549" i="1"/>
  <c r="AD2549" i="1"/>
  <c r="AC2549" i="1"/>
  <c r="AB2549" i="1"/>
  <c r="Z2549" i="1"/>
  <c r="O2549" i="1"/>
  <c r="BF2549" i="1" s="1"/>
  <c r="L2549" i="1"/>
  <c r="K2549" i="1"/>
  <c r="BW2548" i="1"/>
  <c r="BJ2548" i="1"/>
  <c r="BD2548" i="1"/>
  <c r="AP2548" i="1"/>
  <c r="AX2548" i="1" s="1"/>
  <c r="AO2548" i="1"/>
  <c r="BH2548" i="1" s="1"/>
  <c r="AF2548" i="1" s="1"/>
  <c r="AK2548" i="1"/>
  <c r="AJ2548" i="1"/>
  <c r="AH2548" i="1"/>
  <c r="AE2548" i="1"/>
  <c r="AD2548" i="1"/>
  <c r="AC2548" i="1"/>
  <c r="AB2548" i="1"/>
  <c r="Z2548" i="1"/>
  <c r="O2548" i="1"/>
  <c r="BF2548" i="1" s="1"/>
  <c r="L2548" i="1"/>
  <c r="AL2548" i="1" s="1"/>
  <c r="BW2547" i="1"/>
  <c r="BJ2547" i="1"/>
  <c r="BD2547" i="1"/>
  <c r="AP2547" i="1"/>
  <c r="AX2547" i="1" s="1"/>
  <c r="AO2547" i="1"/>
  <c r="BH2547" i="1" s="1"/>
  <c r="AF2547" i="1" s="1"/>
  <c r="AK2547" i="1"/>
  <c r="AJ2547" i="1"/>
  <c r="AH2547" i="1"/>
  <c r="AE2547" i="1"/>
  <c r="AD2547" i="1"/>
  <c r="AC2547" i="1"/>
  <c r="AB2547" i="1"/>
  <c r="Z2547" i="1"/>
  <c r="O2547" i="1"/>
  <c r="BF2547" i="1" s="1"/>
  <c r="L2547" i="1"/>
  <c r="AL2547" i="1" s="1"/>
  <c r="BW2546" i="1"/>
  <c r="BJ2546" i="1"/>
  <c r="BD2546" i="1"/>
  <c r="AP2546" i="1"/>
  <c r="AX2546" i="1" s="1"/>
  <c r="AO2546" i="1"/>
  <c r="BH2546" i="1" s="1"/>
  <c r="AF2546" i="1" s="1"/>
  <c r="AK2546" i="1"/>
  <c r="AJ2546" i="1"/>
  <c r="AH2546" i="1"/>
  <c r="AE2546" i="1"/>
  <c r="AD2546" i="1"/>
  <c r="AC2546" i="1"/>
  <c r="AB2546" i="1"/>
  <c r="Z2546" i="1"/>
  <c r="O2546" i="1"/>
  <c r="BF2546" i="1" s="1"/>
  <c r="L2546" i="1"/>
  <c r="AL2546" i="1" s="1"/>
  <c r="BW2545" i="1"/>
  <c r="BJ2545" i="1"/>
  <c r="BD2545" i="1"/>
  <c r="AP2545" i="1"/>
  <c r="AX2545" i="1" s="1"/>
  <c r="AO2545" i="1"/>
  <c r="AW2545" i="1" s="1"/>
  <c r="AK2545" i="1"/>
  <c r="AJ2545" i="1"/>
  <c r="AH2545" i="1"/>
  <c r="AE2545" i="1"/>
  <c r="AD2545" i="1"/>
  <c r="AC2545" i="1"/>
  <c r="AB2545" i="1"/>
  <c r="Z2545" i="1"/>
  <c r="O2545" i="1"/>
  <c r="BF2545" i="1" s="1"/>
  <c r="L2545" i="1"/>
  <c r="BW2544" i="1"/>
  <c r="BJ2544" i="1"/>
  <c r="BD2544" i="1"/>
  <c r="AP2544" i="1"/>
  <c r="AO2544" i="1"/>
  <c r="BH2544" i="1" s="1"/>
  <c r="AF2544" i="1" s="1"/>
  <c r="AK2544" i="1"/>
  <c r="AJ2544" i="1"/>
  <c r="AH2544" i="1"/>
  <c r="AE2544" i="1"/>
  <c r="AD2544" i="1"/>
  <c r="AC2544" i="1"/>
  <c r="AB2544" i="1"/>
  <c r="Z2544" i="1"/>
  <c r="O2544" i="1"/>
  <c r="BF2544" i="1" s="1"/>
  <c r="L2544" i="1"/>
  <c r="AL2544" i="1" s="1"/>
  <c r="BW2543" i="1"/>
  <c r="BJ2543" i="1"/>
  <c r="BD2543" i="1"/>
  <c r="AP2543" i="1"/>
  <c r="AX2543" i="1" s="1"/>
  <c r="AO2543" i="1"/>
  <c r="BH2543" i="1" s="1"/>
  <c r="AF2543" i="1" s="1"/>
  <c r="AK2543" i="1"/>
  <c r="AJ2543" i="1"/>
  <c r="AH2543" i="1"/>
  <c r="AE2543" i="1"/>
  <c r="AD2543" i="1"/>
  <c r="AC2543" i="1"/>
  <c r="AB2543" i="1"/>
  <c r="Z2543" i="1"/>
  <c r="O2543" i="1"/>
  <c r="BF2543" i="1" s="1"/>
  <c r="L2543" i="1"/>
  <c r="BW2542" i="1"/>
  <c r="BJ2542" i="1"/>
  <c r="BD2542" i="1"/>
  <c r="AP2542" i="1"/>
  <c r="AX2542" i="1" s="1"/>
  <c r="AO2542" i="1"/>
  <c r="AK2542" i="1"/>
  <c r="AJ2542" i="1"/>
  <c r="AH2542" i="1"/>
  <c r="AE2542" i="1"/>
  <c r="AD2542" i="1"/>
  <c r="AC2542" i="1"/>
  <c r="AB2542" i="1"/>
  <c r="Z2542" i="1"/>
  <c r="O2542" i="1"/>
  <c r="BF2542" i="1" s="1"/>
  <c r="L2542" i="1"/>
  <c r="AL2542" i="1" s="1"/>
  <c r="BW2541" i="1"/>
  <c r="BJ2541" i="1"/>
  <c r="BD2541" i="1"/>
  <c r="AP2541" i="1"/>
  <c r="AX2541" i="1" s="1"/>
  <c r="AO2541" i="1"/>
  <c r="AK2541" i="1"/>
  <c r="AJ2541" i="1"/>
  <c r="AH2541" i="1"/>
  <c r="AE2541" i="1"/>
  <c r="AD2541" i="1"/>
  <c r="AC2541" i="1"/>
  <c r="AB2541" i="1"/>
  <c r="Z2541" i="1"/>
  <c r="O2541" i="1"/>
  <c r="BF2541" i="1" s="1"/>
  <c r="L2541" i="1"/>
  <c r="AL2541" i="1" s="1"/>
  <c r="BW2540" i="1"/>
  <c r="BJ2540" i="1"/>
  <c r="BD2540" i="1"/>
  <c r="AP2540" i="1"/>
  <c r="AX2540" i="1" s="1"/>
  <c r="AO2540" i="1"/>
  <c r="BH2540" i="1" s="1"/>
  <c r="AF2540" i="1" s="1"/>
  <c r="AK2540" i="1"/>
  <c r="AJ2540" i="1"/>
  <c r="AH2540" i="1"/>
  <c r="AE2540" i="1"/>
  <c r="AD2540" i="1"/>
  <c r="AC2540" i="1"/>
  <c r="AB2540" i="1"/>
  <c r="Z2540" i="1"/>
  <c r="O2540" i="1"/>
  <c r="BF2540" i="1" s="1"/>
  <c r="L2540" i="1"/>
  <c r="BW2539" i="1"/>
  <c r="BJ2539" i="1"/>
  <c r="BD2539" i="1"/>
  <c r="AP2539" i="1"/>
  <c r="AO2539" i="1"/>
  <c r="BH2539" i="1" s="1"/>
  <c r="AF2539" i="1" s="1"/>
  <c r="AK2539" i="1"/>
  <c r="AJ2539" i="1"/>
  <c r="AH2539" i="1"/>
  <c r="AE2539" i="1"/>
  <c r="AD2539" i="1"/>
  <c r="AC2539" i="1"/>
  <c r="AB2539" i="1"/>
  <c r="Z2539" i="1"/>
  <c r="O2539" i="1"/>
  <c r="BF2539" i="1" s="1"/>
  <c r="L2539" i="1"/>
  <c r="AL2539" i="1" s="1"/>
  <c r="BW2538" i="1"/>
  <c r="BJ2538" i="1"/>
  <c r="BD2538" i="1"/>
  <c r="AP2538" i="1"/>
  <c r="AX2538" i="1" s="1"/>
  <c r="AO2538" i="1"/>
  <c r="BH2538" i="1" s="1"/>
  <c r="AF2538" i="1" s="1"/>
  <c r="AK2538" i="1"/>
  <c r="AJ2538" i="1"/>
  <c r="AH2538" i="1"/>
  <c r="AE2538" i="1"/>
  <c r="AD2538" i="1"/>
  <c r="AC2538" i="1"/>
  <c r="AB2538" i="1"/>
  <c r="Z2538" i="1"/>
  <c r="O2538" i="1"/>
  <c r="BF2538" i="1" s="1"/>
  <c r="L2538" i="1"/>
  <c r="BW2535" i="1"/>
  <c r="BJ2535" i="1"/>
  <c r="Z2535" i="1" s="1"/>
  <c r="BD2535" i="1"/>
  <c r="AP2535" i="1"/>
  <c r="BI2535" i="1" s="1"/>
  <c r="AO2535" i="1"/>
  <c r="AW2535" i="1" s="1"/>
  <c r="AK2535" i="1"/>
  <c r="AJ2535" i="1"/>
  <c r="AH2535" i="1"/>
  <c r="AG2535" i="1"/>
  <c r="AF2535" i="1"/>
  <c r="AE2535" i="1"/>
  <c r="AD2535" i="1"/>
  <c r="AC2535" i="1"/>
  <c r="AB2535" i="1"/>
  <c r="O2535" i="1"/>
  <c r="BF2535" i="1" s="1"/>
  <c r="L2535" i="1"/>
  <c r="AL2535" i="1" s="1"/>
  <c r="BW2534" i="1"/>
  <c r="BJ2534" i="1"/>
  <c r="BD2534" i="1"/>
  <c r="AP2534" i="1"/>
  <c r="BI2534" i="1" s="1"/>
  <c r="AE2534" i="1" s="1"/>
  <c r="AO2534" i="1"/>
  <c r="AK2534" i="1"/>
  <c r="AJ2534" i="1"/>
  <c r="AH2534" i="1"/>
  <c r="AG2534" i="1"/>
  <c r="AF2534" i="1"/>
  <c r="AC2534" i="1"/>
  <c r="AB2534" i="1"/>
  <c r="Z2534" i="1"/>
  <c r="O2534" i="1"/>
  <c r="BF2534" i="1" s="1"/>
  <c r="L2534" i="1"/>
  <c r="BW2532" i="1"/>
  <c r="BJ2532" i="1"/>
  <c r="BD2532" i="1"/>
  <c r="AP2532" i="1"/>
  <c r="AX2532" i="1" s="1"/>
  <c r="AO2532" i="1"/>
  <c r="AK2532" i="1"/>
  <c r="AJ2532" i="1"/>
  <c r="AH2532" i="1"/>
  <c r="AG2532" i="1"/>
  <c r="AF2532" i="1"/>
  <c r="AC2532" i="1"/>
  <c r="AB2532" i="1"/>
  <c r="Z2532" i="1"/>
  <c r="O2532" i="1"/>
  <c r="BF2532" i="1" s="1"/>
  <c r="L2532" i="1"/>
  <c r="AL2532" i="1" s="1"/>
  <c r="K2532" i="1"/>
  <c r="BW2531" i="1"/>
  <c r="BJ2531" i="1"/>
  <c r="Z2531" i="1" s="1"/>
  <c r="BD2531" i="1"/>
  <c r="AP2531" i="1"/>
  <c r="AX2531" i="1" s="1"/>
  <c r="AO2531" i="1"/>
  <c r="AW2531" i="1" s="1"/>
  <c r="AK2531" i="1"/>
  <c r="AJ2531" i="1"/>
  <c r="AH2531" i="1"/>
  <c r="AG2531" i="1"/>
  <c r="AF2531" i="1"/>
  <c r="AE2531" i="1"/>
  <c r="AD2531" i="1"/>
  <c r="AC2531" i="1"/>
  <c r="AB2531" i="1"/>
  <c r="O2531" i="1"/>
  <c r="BF2531" i="1" s="1"/>
  <c r="L2531" i="1"/>
  <c r="AL2531" i="1" s="1"/>
  <c r="BW2526" i="1"/>
  <c r="BJ2526" i="1"/>
  <c r="BD2526" i="1"/>
  <c r="AP2526" i="1"/>
  <c r="BI2526" i="1" s="1"/>
  <c r="AE2526" i="1" s="1"/>
  <c r="AO2526" i="1"/>
  <c r="AK2526" i="1"/>
  <c r="AJ2526" i="1"/>
  <c r="AH2526" i="1"/>
  <c r="AG2526" i="1"/>
  <c r="AF2526" i="1"/>
  <c r="AC2526" i="1"/>
  <c r="AB2526" i="1"/>
  <c r="Z2526" i="1"/>
  <c r="O2526" i="1"/>
  <c r="BF2526" i="1" s="1"/>
  <c r="L2526" i="1"/>
  <c r="AL2526" i="1" s="1"/>
  <c r="BW2525" i="1"/>
  <c r="BJ2525" i="1"/>
  <c r="BD2525" i="1"/>
  <c r="AP2525" i="1"/>
  <c r="BI2525" i="1" s="1"/>
  <c r="AE2525" i="1" s="1"/>
  <c r="AO2525" i="1"/>
  <c r="AW2525" i="1" s="1"/>
  <c r="AK2525" i="1"/>
  <c r="AJ2525" i="1"/>
  <c r="AH2525" i="1"/>
  <c r="AG2525" i="1"/>
  <c r="AF2525" i="1"/>
  <c r="AC2525" i="1"/>
  <c r="AB2525" i="1"/>
  <c r="Z2525" i="1"/>
  <c r="O2525" i="1"/>
  <c r="BF2525" i="1" s="1"/>
  <c r="L2525" i="1"/>
  <c r="AL2525" i="1" s="1"/>
  <c r="K2525" i="1"/>
  <c r="J2525" i="1"/>
  <c r="BW2523" i="1"/>
  <c r="BJ2523" i="1"/>
  <c r="BD2523" i="1"/>
  <c r="AP2523" i="1"/>
  <c r="AX2523" i="1" s="1"/>
  <c r="AO2523" i="1"/>
  <c r="AW2523" i="1" s="1"/>
  <c r="AK2523" i="1"/>
  <c r="AJ2523" i="1"/>
  <c r="AH2523" i="1"/>
  <c r="AG2523" i="1"/>
  <c r="AF2523" i="1"/>
  <c r="AC2523" i="1"/>
  <c r="AB2523" i="1"/>
  <c r="Z2523" i="1"/>
  <c r="O2523" i="1"/>
  <c r="BF2523" i="1" s="1"/>
  <c r="L2523" i="1"/>
  <c r="AL2523" i="1" s="1"/>
  <c r="BW2522" i="1"/>
  <c r="BJ2522" i="1"/>
  <c r="BD2522" i="1"/>
  <c r="AP2522" i="1"/>
  <c r="BI2522" i="1" s="1"/>
  <c r="AE2522" i="1" s="1"/>
  <c r="AO2522" i="1"/>
  <c r="AK2522" i="1"/>
  <c r="AJ2522" i="1"/>
  <c r="AH2522" i="1"/>
  <c r="AG2522" i="1"/>
  <c r="AF2522" i="1"/>
  <c r="AC2522" i="1"/>
  <c r="AB2522" i="1"/>
  <c r="Z2522" i="1"/>
  <c r="O2522" i="1"/>
  <c r="BF2522" i="1" s="1"/>
  <c r="L2522" i="1"/>
  <c r="AL2522" i="1" s="1"/>
  <c r="BW2521" i="1"/>
  <c r="BJ2521" i="1"/>
  <c r="BD2521" i="1"/>
  <c r="AP2521" i="1"/>
  <c r="K2521" i="1" s="1"/>
  <c r="AO2521" i="1"/>
  <c r="BH2521" i="1" s="1"/>
  <c r="AD2521" i="1" s="1"/>
  <c r="AK2521" i="1"/>
  <c r="AJ2521" i="1"/>
  <c r="AH2521" i="1"/>
  <c r="AG2521" i="1"/>
  <c r="AF2521" i="1"/>
  <c r="AC2521" i="1"/>
  <c r="AB2521" i="1"/>
  <c r="Z2521" i="1"/>
  <c r="O2521" i="1"/>
  <c r="BF2521" i="1" s="1"/>
  <c r="L2521" i="1"/>
  <c r="AL2521" i="1" s="1"/>
  <c r="BW2519" i="1"/>
  <c r="BJ2519" i="1"/>
  <c r="BD2519" i="1"/>
  <c r="AP2519" i="1"/>
  <c r="AX2519" i="1" s="1"/>
  <c r="AO2519" i="1"/>
  <c r="AW2519" i="1" s="1"/>
  <c r="AK2519" i="1"/>
  <c r="AJ2519" i="1"/>
  <c r="AH2519" i="1"/>
  <c r="AG2519" i="1"/>
  <c r="AF2519" i="1"/>
  <c r="AC2519" i="1"/>
  <c r="AB2519" i="1"/>
  <c r="Z2519" i="1"/>
  <c r="O2519" i="1"/>
  <c r="BF2519" i="1" s="1"/>
  <c r="L2519" i="1"/>
  <c r="AL2519" i="1" s="1"/>
  <c r="BW2518" i="1"/>
  <c r="BJ2518" i="1"/>
  <c r="BD2518" i="1"/>
  <c r="AP2518" i="1"/>
  <c r="BI2518" i="1" s="1"/>
  <c r="AE2518" i="1" s="1"/>
  <c r="AO2518" i="1"/>
  <c r="AK2518" i="1"/>
  <c r="AJ2518" i="1"/>
  <c r="AH2518" i="1"/>
  <c r="AG2518" i="1"/>
  <c r="AF2518" i="1"/>
  <c r="AC2518" i="1"/>
  <c r="AB2518" i="1"/>
  <c r="Z2518" i="1"/>
  <c r="O2518" i="1"/>
  <c r="BF2518" i="1" s="1"/>
  <c r="L2518" i="1"/>
  <c r="AL2518" i="1" s="1"/>
  <c r="BW2515" i="1"/>
  <c r="BJ2515" i="1"/>
  <c r="BD2515" i="1"/>
  <c r="AP2515" i="1"/>
  <c r="BI2515" i="1" s="1"/>
  <c r="AE2515" i="1" s="1"/>
  <c r="AO2515" i="1"/>
  <c r="BH2515" i="1" s="1"/>
  <c r="AD2515" i="1" s="1"/>
  <c r="AK2515" i="1"/>
  <c r="AJ2515" i="1"/>
  <c r="AH2515" i="1"/>
  <c r="AG2515" i="1"/>
  <c r="AF2515" i="1"/>
  <c r="AC2515" i="1"/>
  <c r="AB2515" i="1"/>
  <c r="Z2515" i="1"/>
  <c r="O2515" i="1"/>
  <c r="BF2515" i="1" s="1"/>
  <c r="L2515" i="1"/>
  <c r="AL2515" i="1" s="1"/>
  <c r="BW2514" i="1"/>
  <c r="BJ2514" i="1"/>
  <c r="BD2514" i="1"/>
  <c r="AP2514" i="1"/>
  <c r="AX2514" i="1" s="1"/>
  <c r="AO2514" i="1"/>
  <c r="AW2514" i="1" s="1"/>
  <c r="AK2514" i="1"/>
  <c r="AJ2514" i="1"/>
  <c r="AH2514" i="1"/>
  <c r="AG2514" i="1"/>
  <c r="AF2514" i="1"/>
  <c r="AC2514" i="1"/>
  <c r="AB2514" i="1"/>
  <c r="Z2514" i="1"/>
  <c r="O2514" i="1"/>
  <c r="BF2514" i="1" s="1"/>
  <c r="L2514" i="1"/>
  <c r="AL2514" i="1" s="1"/>
  <c r="BW2513" i="1"/>
  <c r="BJ2513" i="1"/>
  <c r="BD2513" i="1"/>
  <c r="AP2513" i="1"/>
  <c r="BI2513" i="1" s="1"/>
  <c r="AE2513" i="1" s="1"/>
  <c r="AO2513" i="1"/>
  <c r="AK2513" i="1"/>
  <c r="AJ2513" i="1"/>
  <c r="AH2513" i="1"/>
  <c r="AG2513" i="1"/>
  <c r="AF2513" i="1"/>
  <c r="AC2513" i="1"/>
  <c r="AB2513" i="1"/>
  <c r="Z2513" i="1"/>
  <c r="O2513" i="1"/>
  <c r="BF2513" i="1" s="1"/>
  <c r="L2513" i="1"/>
  <c r="AL2513" i="1" s="1"/>
  <c r="BW2511" i="1"/>
  <c r="BJ2511" i="1"/>
  <c r="BD2511" i="1"/>
  <c r="AP2511" i="1"/>
  <c r="BI2511" i="1" s="1"/>
  <c r="AE2511" i="1" s="1"/>
  <c r="AO2511" i="1"/>
  <c r="BH2511" i="1" s="1"/>
  <c r="AD2511" i="1" s="1"/>
  <c r="AK2511" i="1"/>
  <c r="AJ2511" i="1"/>
  <c r="AH2511" i="1"/>
  <c r="AG2511" i="1"/>
  <c r="AF2511" i="1"/>
  <c r="AC2511" i="1"/>
  <c r="AB2511" i="1"/>
  <c r="Z2511" i="1"/>
  <c r="O2511" i="1"/>
  <c r="BF2511" i="1" s="1"/>
  <c r="L2511" i="1"/>
  <c r="AL2511" i="1" s="1"/>
  <c r="BW2510" i="1"/>
  <c r="BJ2510" i="1"/>
  <c r="BD2510" i="1"/>
  <c r="AP2510" i="1"/>
  <c r="AO2510" i="1"/>
  <c r="AW2510" i="1" s="1"/>
  <c r="AK2510" i="1"/>
  <c r="AJ2510" i="1"/>
  <c r="AH2510" i="1"/>
  <c r="AG2510" i="1"/>
  <c r="AF2510" i="1"/>
  <c r="AC2510" i="1"/>
  <c r="AB2510" i="1"/>
  <c r="Z2510" i="1"/>
  <c r="O2510" i="1"/>
  <c r="BF2510" i="1" s="1"/>
  <c r="L2510" i="1"/>
  <c r="AL2510" i="1" s="1"/>
  <c r="BW2509" i="1"/>
  <c r="BJ2509" i="1"/>
  <c r="BD2509" i="1"/>
  <c r="AP2509" i="1"/>
  <c r="BI2509" i="1" s="1"/>
  <c r="AE2509" i="1" s="1"/>
  <c r="AO2509" i="1"/>
  <c r="AK2509" i="1"/>
  <c r="AJ2509" i="1"/>
  <c r="AH2509" i="1"/>
  <c r="AG2509" i="1"/>
  <c r="AF2509" i="1"/>
  <c r="AC2509" i="1"/>
  <c r="AB2509" i="1"/>
  <c r="Z2509" i="1"/>
  <c r="O2509" i="1"/>
  <c r="BF2509" i="1" s="1"/>
  <c r="L2509" i="1"/>
  <c r="AL2509" i="1" s="1"/>
  <c r="BW2508" i="1"/>
  <c r="BJ2508" i="1"/>
  <c r="BD2508" i="1"/>
  <c r="AP2508" i="1"/>
  <c r="AX2508" i="1" s="1"/>
  <c r="AO2508" i="1"/>
  <c r="J2508" i="1" s="1"/>
  <c r="AK2508" i="1"/>
  <c r="AJ2508" i="1"/>
  <c r="AH2508" i="1"/>
  <c r="AG2508" i="1"/>
  <c r="AF2508" i="1"/>
  <c r="AC2508" i="1"/>
  <c r="AB2508" i="1"/>
  <c r="Z2508" i="1"/>
  <c r="O2508" i="1"/>
  <c r="BF2508" i="1" s="1"/>
  <c r="L2508" i="1"/>
  <c r="AL2508" i="1" s="1"/>
  <c r="BW2507" i="1"/>
  <c r="BJ2507" i="1"/>
  <c r="BD2507" i="1"/>
  <c r="AP2507" i="1"/>
  <c r="AO2507" i="1"/>
  <c r="AW2507" i="1" s="1"/>
  <c r="AK2507" i="1"/>
  <c r="AJ2507" i="1"/>
  <c r="AH2507" i="1"/>
  <c r="AG2507" i="1"/>
  <c r="AF2507" i="1"/>
  <c r="AC2507" i="1"/>
  <c r="AB2507" i="1"/>
  <c r="Z2507" i="1"/>
  <c r="O2507" i="1"/>
  <c r="BF2507" i="1" s="1"/>
  <c r="L2507" i="1"/>
  <c r="BW2506" i="1"/>
  <c r="BJ2506" i="1"/>
  <c r="BD2506" i="1"/>
  <c r="AP2506" i="1"/>
  <c r="BI2506" i="1" s="1"/>
  <c r="AE2506" i="1" s="1"/>
  <c r="AO2506" i="1"/>
  <c r="AW2506" i="1" s="1"/>
  <c r="AK2506" i="1"/>
  <c r="AJ2506" i="1"/>
  <c r="AH2506" i="1"/>
  <c r="AG2506" i="1"/>
  <c r="AF2506" i="1"/>
  <c r="AC2506" i="1"/>
  <c r="AB2506" i="1"/>
  <c r="Z2506" i="1"/>
  <c r="O2506" i="1"/>
  <c r="BF2506" i="1" s="1"/>
  <c r="L2506" i="1"/>
  <c r="AL2506" i="1" s="1"/>
  <c r="BW2505" i="1"/>
  <c r="BJ2505" i="1"/>
  <c r="BD2505" i="1"/>
  <c r="AP2505" i="1"/>
  <c r="AX2505" i="1" s="1"/>
  <c r="AO2505" i="1"/>
  <c r="BH2505" i="1" s="1"/>
  <c r="AD2505" i="1" s="1"/>
  <c r="AK2505" i="1"/>
  <c r="AJ2505" i="1"/>
  <c r="AH2505" i="1"/>
  <c r="AG2505" i="1"/>
  <c r="AF2505" i="1"/>
  <c r="AC2505" i="1"/>
  <c r="AB2505" i="1"/>
  <c r="Z2505" i="1"/>
  <c r="O2505" i="1"/>
  <c r="BF2505" i="1" s="1"/>
  <c r="L2505" i="1"/>
  <c r="AL2505" i="1" s="1"/>
  <c r="BW2504" i="1"/>
  <c r="BJ2504" i="1"/>
  <c r="BD2504" i="1"/>
  <c r="AP2504" i="1"/>
  <c r="AX2504" i="1" s="1"/>
  <c r="AO2504" i="1"/>
  <c r="AW2504" i="1" s="1"/>
  <c r="AK2504" i="1"/>
  <c r="AJ2504" i="1"/>
  <c r="AH2504" i="1"/>
  <c r="AG2504" i="1"/>
  <c r="AF2504" i="1"/>
  <c r="AC2504" i="1"/>
  <c r="AB2504" i="1"/>
  <c r="Z2504" i="1"/>
  <c r="O2504" i="1"/>
  <c r="BF2504" i="1" s="1"/>
  <c r="L2504" i="1"/>
  <c r="BW2503" i="1"/>
  <c r="BJ2503" i="1"/>
  <c r="BD2503" i="1"/>
  <c r="AP2503" i="1"/>
  <c r="AO2503" i="1"/>
  <c r="AW2503" i="1" s="1"/>
  <c r="AK2503" i="1"/>
  <c r="AJ2503" i="1"/>
  <c r="AH2503" i="1"/>
  <c r="AG2503" i="1"/>
  <c r="AF2503" i="1"/>
  <c r="AC2503" i="1"/>
  <c r="AB2503" i="1"/>
  <c r="Z2503" i="1"/>
  <c r="O2503" i="1"/>
  <c r="BF2503" i="1" s="1"/>
  <c r="L2503" i="1"/>
  <c r="AL2503" i="1" s="1"/>
  <c r="BW2502" i="1"/>
  <c r="BJ2502" i="1"/>
  <c r="BD2502" i="1"/>
  <c r="AP2502" i="1"/>
  <c r="BI2502" i="1" s="1"/>
  <c r="AE2502" i="1" s="1"/>
  <c r="AO2502" i="1"/>
  <c r="J2502" i="1" s="1"/>
  <c r="AK2502" i="1"/>
  <c r="AJ2502" i="1"/>
  <c r="AH2502" i="1"/>
  <c r="AG2502" i="1"/>
  <c r="AF2502" i="1"/>
  <c r="AC2502" i="1"/>
  <c r="AB2502" i="1"/>
  <c r="Z2502" i="1"/>
  <c r="O2502" i="1"/>
  <c r="BF2502" i="1" s="1"/>
  <c r="L2502" i="1"/>
  <c r="AL2502" i="1" s="1"/>
  <c r="BW2501" i="1"/>
  <c r="BJ2501" i="1"/>
  <c r="BD2501" i="1"/>
  <c r="AP2501" i="1"/>
  <c r="BI2501" i="1" s="1"/>
  <c r="AE2501" i="1" s="1"/>
  <c r="AO2501" i="1"/>
  <c r="AW2501" i="1" s="1"/>
  <c r="AK2501" i="1"/>
  <c r="AJ2501" i="1"/>
  <c r="AH2501" i="1"/>
  <c r="AG2501" i="1"/>
  <c r="AF2501" i="1"/>
  <c r="AC2501" i="1"/>
  <c r="AB2501" i="1"/>
  <c r="Z2501" i="1"/>
  <c r="O2501" i="1"/>
  <c r="BF2501" i="1" s="1"/>
  <c r="L2501" i="1"/>
  <c r="AL2501" i="1" s="1"/>
  <c r="BW2499" i="1"/>
  <c r="BJ2499" i="1"/>
  <c r="BD2499" i="1"/>
  <c r="AP2499" i="1"/>
  <c r="AO2499" i="1"/>
  <c r="J2499" i="1" s="1"/>
  <c r="AK2499" i="1"/>
  <c r="AJ2499" i="1"/>
  <c r="AH2499" i="1"/>
  <c r="AG2499" i="1"/>
  <c r="AF2499" i="1"/>
  <c r="AC2499" i="1"/>
  <c r="AB2499" i="1"/>
  <c r="Z2499" i="1"/>
  <c r="O2499" i="1"/>
  <c r="BF2499" i="1" s="1"/>
  <c r="L2499" i="1"/>
  <c r="AL2499" i="1" s="1"/>
  <c r="BW2497" i="1"/>
  <c r="BJ2497" i="1"/>
  <c r="BD2497" i="1"/>
  <c r="AP2497" i="1"/>
  <c r="K2497" i="1" s="1"/>
  <c r="AO2497" i="1"/>
  <c r="J2497" i="1" s="1"/>
  <c r="AK2497" i="1"/>
  <c r="AJ2497" i="1"/>
  <c r="AH2497" i="1"/>
  <c r="AG2497" i="1"/>
  <c r="AF2497" i="1"/>
  <c r="AC2497" i="1"/>
  <c r="AB2497" i="1"/>
  <c r="Z2497" i="1"/>
  <c r="O2497" i="1"/>
  <c r="BF2497" i="1" s="1"/>
  <c r="L2497" i="1"/>
  <c r="BW2495" i="1"/>
  <c r="BJ2495" i="1"/>
  <c r="BD2495" i="1"/>
  <c r="AP2495" i="1"/>
  <c r="AO2495" i="1"/>
  <c r="AW2495" i="1" s="1"/>
  <c r="AK2495" i="1"/>
  <c r="AJ2495" i="1"/>
  <c r="AH2495" i="1"/>
  <c r="AG2495" i="1"/>
  <c r="AF2495" i="1"/>
  <c r="AC2495" i="1"/>
  <c r="AB2495" i="1"/>
  <c r="Z2495" i="1"/>
  <c r="O2495" i="1"/>
  <c r="BF2495" i="1" s="1"/>
  <c r="L2495" i="1"/>
  <c r="BW2493" i="1"/>
  <c r="BJ2493" i="1"/>
  <c r="BD2493" i="1"/>
  <c r="AP2493" i="1"/>
  <c r="AX2493" i="1" s="1"/>
  <c r="AO2493" i="1"/>
  <c r="BH2493" i="1" s="1"/>
  <c r="AD2493" i="1" s="1"/>
  <c r="AK2493" i="1"/>
  <c r="AJ2493" i="1"/>
  <c r="AH2493" i="1"/>
  <c r="AG2493" i="1"/>
  <c r="AF2493" i="1"/>
  <c r="AC2493" i="1"/>
  <c r="AB2493" i="1"/>
  <c r="Z2493" i="1"/>
  <c r="O2493" i="1"/>
  <c r="BF2493" i="1" s="1"/>
  <c r="L2493" i="1"/>
  <c r="AL2493" i="1" s="1"/>
  <c r="BW2491" i="1"/>
  <c r="BJ2491" i="1"/>
  <c r="BD2491" i="1"/>
  <c r="AP2491" i="1"/>
  <c r="K2491" i="1" s="1"/>
  <c r="AO2491" i="1"/>
  <c r="AW2491" i="1" s="1"/>
  <c r="AK2491" i="1"/>
  <c r="AJ2491" i="1"/>
  <c r="AH2491" i="1"/>
  <c r="AG2491" i="1"/>
  <c r="AF2491" i="1"/>
  <c r="AC2491" i="1"/>
  <c r="AB2491" i="1"/>
  <c r="Z2491" i="1"/>
  <c r="O2491" i="1"/>
  <c r="BF2491" i="1" s="1"/>
  <c r="L2491" i="1"/>
  <c r="BW2490" i="1"/>
  <c r="BJ2490" i="1"/>
  <c r="BD2490" i="1"/>
  <c r="AP2490" i="1"/>
  <c r="BI2490" i="1" s="1"/>
  <c r="AE2490" i="1" s="1"/>
  <c r="AO2490" i="1"/>
  <c r="AW2490" i="1" s="1"/>
  <c r="AK2490" i="1"/>
  <c r="AJ2490" i="1"/>
  <c r="AH2490" i="1"/>
  <c r="AG2490" i="1"/>
  <c r="AF2490" i="1"/>
  <c r="AC2490" i="1"/>
  <c r="AB2490" i="1"/>
  <c r="Z2490" i="1"/>
  <c r="O2490" i="1"/>
  <c r="BF2490" i="1" s="1"/>
  <c r="L2490" i="1"/>
  <c r="AL2490" i="1" s="1"/>
  <c r="BW2488" i="1"/>
  <c r="BJ2488" i="1"/>
  <c r="BD2488" i="1"/>
  <c r="AP2488" i="1"/>
  <c r="AO2488" i="1"/>
  <c r="AK2488" i="1"/>
  <c r="AJ2488" i="1"/>
  <c r="AH2488" i="1"/>
  <c r="AG2488" i="1"/>
  <c r="AF2488" i="1"/>
  <c r="AC2488" i="1"/>
  <c r="AB2488" i="1"/>
  <c r="Z2488" i="1"/>
  <c r="O2488" i="1"/>
  <c r="BF2488" i="1" s="1"/>
  <c r="L2488" i="1"/>
  <c r="AL2488" i="1" s="1"/>
  <c r="BW2487" i="1"/>
  <c r="BJ2487" i="1"/>
  <c r="BD2487" i="1"/>
  <c r="AP2487" i="1"/>
  <c r="AO2487" i="1"/>
  <c r="BH2487" i="1" s="1"/>
  <c r="AD2487" i="1" s="1"/>
  <c r="AK2487" i="1"/>
  <c r="AJ2487" i="1"/>
  <c r="AH2487" i="1"/>
  <c r="AG2487" i="1"/>
  <c r="AF2487" i="1"/>
  <c r="AC2487" i="1"/>
  <c r="AB2487" i="1"/>
  <c r="Z2487" i="1"/>
  <c r="O2487" i="1"/>
  <c r="BF2487" i="1" s="1"/>
  <c r="L2487" i="1"/>
  <c r="K2487" i="1"/>
  <c r="BW2486" i="1"/>
  <c r="BJ2486" i="1"/>
  <c r="BD2486" i="1"/>
  <c r="AP2486" i="1"/>
  <c r="BI2486" i="1" s="1"/>
  <c r="AE2486" i="1" s="1"/>
  <c r="AO2486" i="1"/>
  <c r="AW2486" i="1" s="1"/>
  <c r="AK2486" i="1"/>
  <c r="AJ2486" i="1"/>
  <c r="AH2486" i="1"/>
  <c r="AG2486" i="1"/>
  <c r="AF2486" i="1"/>
  <c r="AC2486" i="1"/>
  <c r="AB2486" i="1"/>
  <c r="Z2486" i="1"/>
  <c r="O2486" i="1"/>
  <c r="BF2486" i="1" s="1"/>
  <c r="L2486" i="1"/>
  <c r="AL2486" i="1" s="1"/>
  <c r="BW2485" i="1"/>
  <c r="BJ2485" i="1"/>
  <c r="BD2485" i="1"/>
  <c r="AP2485" i="1"/>
  <c r="AO2485" i="1"/>
  <c r="AK2485" i="1"/>
  <c r="AJ2485" i="1"/>
  <c r="AH2485" i="1"/>
  <c r="AG2485" i="1"/>
  <c r="AF2485" i="1"/>
  <c r="AC2485" i="1"/>
  <c r="AB2485" i="1"/>
  <c r="Z2485" i="1"/>
  <c r="O2485" i="1"/>
  <c r="BF2485" i="1" s="1"/>
  <c r="L2485" i="1"/>
  <c r="AL2485" i="1" s="1"/>
  <c r="BW2484" i="1"/>
  <c r="BJ2484" i="1"/>
  <c r="BD2484" i="1"/>
  <c r="AP2484" i="1"/>
  <c r="AX2484" i="1" s="1"/>
  <c r="AO2484" i="1"/>
  <c r="J2484" i="1" s="1"/>
  <c r="AK2484" i="1"/>
  <c r="AJ2484" i="1"/>
  <c r="AH2484" i="1"/>
  <c r="AG2484" i="1"/>
  <c r="AF2484" i="1"/>
  <c r="AC2484" i="1"/>
  <c r="AB2484" i="1"/>
  <c r="Z2484" i="1"/>
  <c r="O2484" i="1"/>
  <c r="BF2484" i="1" s="1"/>
  <c r="L2484" i="1"/>
  <c r="BW2483" i="1"/>
  <c r="BJ2483" i="1"/>
  <c r="BD2483" i="1"/>
  <c r="AP2483" i="1"/>
  <c r="BI2483" i="1" s="1"/>
  <c r="AE2483" i="1" s="1"/>
  <c r="AO2483" i="1"/>
  <c r="AW2483" i="1" s="1"/>
  <c r="AK2483" i="1"/>
  <c r="AJ2483" i="1"/>
  <c r="AH2483" i="1"/>
  <c r="AG2483" i="1"/>
  <c r="AF2483" i="1"/>
  <c r="AC2483" i="1"/>
  <c r="AB2483" i="1"/>
  <c r="Z2483" i="1"/>
  <c r="O2483" i="1"/>
  <c r="BF2483" i="1" s="1"/>
  <c r="L2483" i="1"/>
  <c r="K2483" i="1"/>
  <c r="BW2481" i="1"/>
  <c r="BJ2481" i="1"/>
  <c r="BD2481" i="1"/>
  <c r="AP2481" i="1"/>
  <c r="AX2481" i="1" s="1"/>
  <c r="AO2481" i="1"/>
  <c r="AW2481" i="1" s="1"/>
  <c r="AK2481" i="1"/>
  <c r="AJ2481" i="1"/>
  <c r="AH2481" i="1"/>
  <c r="AG2481" i="1"/>
  <c r="AF2481" i="1"/>
  <c r="AC2481" i="1"/>
  <c r="AB2481" i="1"/>
  <c r="Z2481" i="1"/>
  <c r="O2481" i="1"/>
  <c r="BF2481" i="1" s="1"/>
  <c r="L2481" i="1"/>
  <c r="AL2481" i="1" s="1"/>
  <c r="BW2480" i="1"/>
  <c r="BJ2480" i="1"/>
  <c r="BD2480" i="1"/>
  <c r="AP2480" i="1"/>
  <c r="AX2480" i="1" s="1"/>
  <c r="AO2480" i="1"/>
  <c r="BH2480" i="1" s="1"/>
  <c r="AD2480" i="1" s="1"/>
  <c r="AK2480" i="1"/>
  <c r="AJ2480" i="1"/>
  <c r="AH2480" i="1"/>
  <c r="AG2480" i="1"/>
  <c r="AF2480" i="1"/>
  <c r="AC2480" i="1"/>
  <c r="AB2480" i="1"/>
  <c r="Z2480" i="1"/>
  <c r="O2480" i="1"/>
  <c r="BF2480" i="1" s="1"/>
  <c r="L2480" i="1"/>
  <c r="BW2478" i="1"/>
  <c r="BJ2478" i="1"/>
  <c r="BD2478" i="1"/>
  <c r="AP2478" i="1"/>
  <c r="AO2478" i="1"/>
  <c r="AK2478" i="1"/>
  <c r="AJ2478" i="1"/>
  <c r="AH2478" i="1"/>
  <c r="AG2478" i="1"/>
  <c r="AF2478" i="1"/>
  <c r="AC2478" i="1"/>
  <c r="AB2478" i="1"/>
  <c r="Z2478" i="1"/>
  <c r="O2478" i="1"/>
  <c r="BF2478" i="1" s="1"/>
  <c r="L2478" i="1"/>
  <c r="AL2478" i="1" s="1"/>
  <c r="BW2477" i="1"/>
  <c r="BJ2477" i="1"/>
  <c r="BD2477" i="1"/>
  <c r="AP2477" i="1"/>
  <c r="AX2477" i="1" s="1"/>
  <c r="AO2477" i="1"/>
  <c r="J2477" i="1" s="1"/>
  <c r="AK2477" i="1"/>
  <c r="AJ2477" i="1"/>
  <c r="AH2477" i="1"/>
  <c r="AG2477" i="1"/>
  <c r="AF2477" i="1"/>
  <c r="AC2477" i="1"/>
  <c r="AB2477" i="1"/>
  <c r="Z2477" i="1"/>
  <c r="O2477" i="1"/>
  <c r="BF2477" i="1" s="1"/>
  <c r="L2477" i="1"/>
  <c r="AL2477" i="1" s="1"/>
  <c r="BW2476" i="1"/>
  <c r="BJ2476" i="1"/>
  <c r="BD2476" i="1"/>
  <c r="AP2476" i="1"/>
  <c r="K2476" i="1" s="1"/>
  <c r="AO2476" i="1"/>
  <c r="AK2476" i="1"/>
  <c r="AJ2476" i="1"/>
  <c r="AH2476" i="1"/>
  <c r="AG2476" i="1"/>
  <c r="AF2476" i="1"/>
  <c r="AC2476" i="1"/>
  <c r="AB2476" i="1"/>
  <c r="Z2476" i="1"/>
  <c r="O2476" i="1"/>
  <c r="BF2476" i="1" s="1"/>
  <c r="L2476" i="1"/>
  <c r="AL2476" i="1" s="1"/>
  <c r="BW2475" i="1"/>
  <c r="BJ2475" i="1"/>
  <c r="BD2475" i="1"/>
  <c r="AP2475" i="1"/>
  <c r="AX2475" i="1" s="1"/>
  <c r="AO2475" i="1"/>
  <c r="BH2475" i="1" s="1"/>
  <c r="AD2475" i="1" s="1"/>
  <c r="AK2475" i="1"/>
  <c r="AJ2475" i="1"/>
  <c r="AH2475" i="1"/>
  <c r="AG2475" i="1"/>
  <c r="AF2475" i="1"/>
  <c r="AC2475" i="1"/>
  <c r="AB2475" i="1"/>
  <c r="Z2475" i="1"/>
  <c r="O2475" i="1"/>
  <c r="BF2475" i="1" s="1"/>
  <c r="L2475" i="1"/>
  <c r="BW2474" i="1"/>
  <c r="BJ2474" i="1"/>
  <c r="BD2474" i="1"/>
  <c r="AP2474" i="1"/>
  <c r="AO2474" i="1"/>
  <c r="AW2474" i="1" s="1"/>
  <c r="AK2474" i="1"/>
  <c r="AJ2474" i="1"/>
  <c r="AH2474" i="1"/>
  <c r="AG2474" i="1"/>
  <c r="AF2474" i="1"/>
  <c r="AC2474" i="1"/>
  <c r="AB2474" i="1"/>
  <c r="Z2474" i="1"/>
  <c r="O2474" i="1"/>
  <c r="BF2474" i="1" s="1"/>
  <c r="L2474" i="1"/>
  <c r="AL2474" i="1" s="1"/>
  <c r="BW2473" i="1"/>
  <c r="BJ2473" i="1"/>
  <c r="BD2473" i="1"/>
  <c r="AP2473" i="1"/>
  <c r="BI2473" i="1" s="1"/>
  <c r="AE2473" i="1" s="1"/>
  <c r="AO2473" i="1"/>
  <c r="BH2473" i="1" s="1"/>
  <c r="AD2473" i="1" s="1"/>
  <c r="AK2473" i="1"/>
  <c r="AJ2473" i="1"/>
  <c r="AH2473" i="1"/>
  <c r="AG2473" i="1"/>
  <c r="AF2473" i="1"/>
  <c r="AC2473" i="1"/>
  <c r="AB2473" i="1"/>
  <c r="Z2473" i="1"/>
  <c r="O2473" i="1"/>
  <c r="BF2473" i="1" s="1"/>
  <c r="L2473" i="1"/>
  <c r="AL2473" i="1" s="1"/>
  <c r="BW2472" i="1"/>
  <c r="BJ2472" i="1"/>
  <c r="BD2472" i="1"/>
  <c r="AP2472" i="1"/>
  <c r="AX2472" i="1" s="1"/>
  <c r="AO2472" i="1"/>
  <c r="BH2472" i="1" s="1"/>
  <c r="AD2472" i="1" s="1"/>
  <c r="AK2472" i="1"/>
  <c r="AJ2472" i="1"/>
  <c r="AH2472" i="1"/>
  <c r="AG2472" i="1"/>
  <c r="AF2472" i="1"/>
  <c r="AC2472" i="1"/>
  <c r="AB2472" i="1"/>
  <c r="Z2472" i="1"/>
  <c r="O2472" i="1"/>
  <c r="BF2472" i="1" s="1"/>
  <c r="L2472" i="1"/>
  <c r="BW2471" i="1"/>
  <c r="BJ2471" i="1"/>
  <c r="BD2471" i="1"/>
  <c r="AP2471" i="1"/>
  <c r="AO2471" i="1"/>
  <c r="AW2471" i="1" s="1"/>
  <c r="AK2471" i="1"/>
  <c r="AJ2471" i="1"/>
  <c r="AH2471" i="1"/>
  <c r="AG2471" i="1"/>
  <c r="AF2471" i="1"/>
  <c r="AC2471" i="1"/>
  <c r="AB2471" i="1"/>
  <c r="Z2471" i="1"/>
  <c r="O2471" i="1"/>
  <c r="BF2471" i="1" s="1"/>
  <c r="L2471" i="1"/>
  <c r="BW2470" i="1"/>
  <c r="BJ2470" i="1"/>
  <c r="BD2470" i="1"/>
  <c r="AP2470" i="1"/>
  <c r="BI2470" i="1" s="1"/>
  <c r="AE2470" i="1" s="1"/>
  <c r="AO2470" i="1"/>
  <c r="BH2470" i="1" s="1"/>
  <c r="AD2470" i="1" s="1"/>
  <c r="AK2470" i="1"/>
  <c r="AJ2470" i="1"/>
  <c r="AH2470" i="1"/>
  <c r="AG2470" i="1"/>
  <c r="AF2470" i="1"/>
  <c r="AC2470" i="1"/>
  <c r="AB2470" i="1"/>
  <c r="Z2470" i="1"/>
  <c r="O2470" i="1"/>
  <c r="BF2470" i="1" s="1"/>
  <c r="L2470" i="1"/>
  <c r="AL2470" i="1" s="1"/>
  <c r="K2470" i="1"/>
  <c r="BW2469" i="1"/>
  <c r="BJ2469" i="1"/>
  <c r="BD2469" i="1"/>
  <c r="AP2469" i="1"/>
  <c r="AX2469" i="1" s="1"/>
  <c r="AO2469" i="1"/>
  <c r="BH2469" i="1" s="1"/>
  <c r="AD2469" i="1" s="1"/>
  <c r="AK2469" i="1"/>
  <c r="AJ2469" i="1"/>
  <c r="AH2469" i="1"/>
  <c r="AG2469" i="1"/>
  <c r="AF2469" i="1"/>
  <c r="AC2469" i="1"/>
  <c r="AB2469" i="1"/>
  <c r="Z2469" i="1"/>
  <c r="O2469" i="1"/>
  <c r="BF2469" i="1" s="1"/>
  <c r="L2469" i="1"/>
  <c r="BW2468" i="1"/>
  <c r="BJ2468" i="1"/>
  <c r="BD2468" i="1"/>
  <c r="AP2468" i="1"/>
  <c r="AO2468" i="1"/>
  <c r="AW2468" i="1" s="1"/>
  <c r="AK2468" i="1"/>
  <c r="AJ2468" i="1"/>
  <c r="AH2468" i="1"/>
  <c r="AG2468" i="1"/>
  <c r="AF2468" i="1"/>
  <c r="AC2468" i="1"/>
  <c r="AB2468" i="1"/>
  <c r="Z2468" i="1"/>
  <c r="O2468" i="1"/>
  <c r="BF2468" i="1" s="1"/>
  <c r="L2468" i="1"/>
  <c r="AL2468" i="1" s="1"/>
  <c r="BW2467" i="1"/>
  <c r="BJ2467" i="1"/>
  <c r="BD2467" i="1"/>
  <c r="AP2467" i="1"/>
  <c r="BI2467" i="1" s="1"/>
  <c r="AE2467" i="1" s="1"/>
  <c r="AO2467" i="1"/>
  <c r="BH2467" i="1" s="1"/>
  <c r="AD2467" i="1" s="1"/>
  <c r="AK2467" i="1"/>
  <c r="AJ2467" i="1"/>
  <c r="AH2467" i="1"/>
  <c r="AG2467" i="1"/>
  <c r="AF2467" i="1"/>
  <c r="AC2467" i="1"/>
  <c r="AB2467" i="1"/>
  <c r="Z2467" i="1"/>
  <c r="O2467" i="1"/>
  <c r="BF2467" i="1" s="1"/>
  <c r="L2467" i="1"/>
  <c r="AL2467" i="1" s="1"/>
  <c r="BW2466" i="1"/>
  <c r="BJ2466" i="1"/>
  <c r="BD2466" i="1"/>
  <c r="AP2466" i="1"/>
  <c r="K2466" i="1" s="1"/>
  <c r="AO2466" i="1"/>
  <c r="BH2466" i="1" s="1"/>
  <c r="AD2466" i="1" s="1"/>
  <c r="AK2466" i="1"/>
  <c r="AJ2466" i="1"/>
  <c r="AH2466" i="1"/>
  <c r="AG2466" i="1"/>
  <c r="AF2466" i="1"/>
  <c r="AC2466" i="1"/>
  <c r="AB2466" i="1"/>
  <c r="Z2466" i="1"/>
  <c r="O2466" i="1"/>
  <c r="BF2466" i="1" s="1"/>
  <c r="L2466" i="1"/>
  <c r="BW2465" i="1"/>
  <c r="BJ2465" i="1"/>
  <c r="BD2465" i="1"/>
  <c r="AP2465" i="1"/>
  <c r="AO2465" i="1"/>
  <c r="AW2465" i="1" s="1"/>
  <c r="AK2465" i="1"/>
  <c r="AJ2465" i="1"/>
  <c r="AH2465" i="1"/>
  <c r="AG2465" i="1"/>
  <c r="AF2465" i="1"/>
  <c r="AC2465" i="1"/>
  <c r="AB2465" i="1"/>
  <c r="Z2465" i="1"/>
  <c r="O2465" i="1"/>
  <c r="BF2465" i="1" s="1"/>
  <c r="L2465" i="1"/>
  <c r="BW2463" i="1"/>
  <c r="BJ2463" i="1"/>
  <c r="BD2463" i="1"/>
  <c r="AP2463" i="1"/>
  <c r="K2463" i="1" s="1"/>
  <c r="AO2463" i="1"/>
  <c r="BH2463" i="1" s="1"/>
  <c r="AD2463" i="1" s="1"/>
  <c r="AK2463" i="1"/>
  <c r="AJ2463" i="1"/>
  <c r="AH2463" i="1"/>
  <c r="AG2463" i="1"/>
  <c r="AF2463" i="1"/>
  <c r="AC2463" i="1"/>
  <c r="AB2463" i="1"/>
  <c r="Z2463" i="1"/>
  <c r="O2463" i="1"/>
  <c r="BF2463" i="1" s="1"/>
  <c r="L2463" i="1"/>
  <c r="AL2463" i="1" s="1"/>
  <c r="BW2461" i="1"/>
  <c r="BJ2461" i="1"/>
  <c r="BD2461" i="1"/>
  <c r="AP2461" i="1"/>
  <c r="AX2461" i="1" s="1"/>
  <c r="AO2461" i="1"/>
  <c r="BH2461" i="1" s="1"/>
  <c r="AD2461" i="1" s="1"/>
  <c r="AK2461" i="1"/>
  <c r="AJ2461" i="1"/>
  <c r="AH2461" i="1"/>
  <c r="AG2461" i="1"/>
  <c r="AF2461" i="1"/>
  <c r="AC2461" i="1"/>
  <c r="AB2461" i="1"/>
  <c r="Z2461" i="1"/>
  <c r="O2461" i="1"/>
  <c r="BF2461" i="1" s="1"/>
  <c r="L2461" i="1"/>
  <c r="BW2460" i="1"/>
  <c r="BJ2460" i="1"/>
  <c r="Z2460" i="1" s="1"/>
  <c r="BD2460" i="1"/>
  <c r="AP2460" i="1"/>
  <c r="AO2460" i="1"/>
  <c r="AW2460" i="1" s="1"/>
  <c r="AK2460" i="1"/>
  <c r="AJ2460" i="1"/>
  <c r="AH2460" i="1"/>
  <c r="AG2460" i="1"/>
  <c r="AF2460" i="1"/>
  <c r="AE2460" i="1"/>
  <c r="AD2460" i="1"/>
  <c r="AC2460" i="1"/>
  <c r="AB2460" i="1"/>
  <c r="O2460" i="1"/>
  <c r="BF2460" i="1" s="1"/>
  <c r="L2460" i="1"/>
  <c r="AL2460" i="1" s="1"/>
  <c r="BW2459" i="1"/>
  <c r="BJ2459" i="1"/>
  <c r="BD2459" i="1"/>
  <c r="AP2459" i="1"/>
  <c r="BI2459" i="1" s="1"/>
  <c r="AE2459" i="1" s="1"/>
  <c r="AO2459" i="1"/>
  <c r="AW2459" i="1" s="1"/>
  <c r="AK2459" i="1"/>
  <c r="AJ2459" i="1"/>
  <c r="AH2459" i="1"/>
  <c r="AG2459" i="1"/>
  <c r="AF2459" i="1"/>
  <c r="AC2459" i="1"/>
  <c r="AB2459" i="1"/>
  <c r="Z2459" i="1"/>
  <c r="O2459" i="1"/>
  <c r="BF2459" i="1" s="1"/>
  <c r="L2459" i="1"/>
  <c r="AL2459" i="1" s="1"/>
  <c r="BW2458" i="1"/>
  <c r="BJ2458" i="1"/>
  <c r="BD2458" i="1"/>
  <c r="AP2458" i="1"/>
  <c r="AX2458" i="1" s="1"/>
  <c r="AO2458" i="1"/>
  <c r="BH2458" i="1" s="1"/>
  <c r="AD2458" i="1" s="1"/>
  <c r="AK2458" i="1"/>
  <c r="AJ2458" i="1"/>
  <c r="AH2458" i="1"/>
  <c r="AG2458" i="1"/>
  <c r="AF2458" i="1"/>
  <c r="AC2458" i="1"/>
  <c r="AB2458" i="1"/>
  <c r="Z2458" i="1"/>
  <c r="O2458" i="1"/>
  <c r="BF2458" i="1" s="1"/>
  <c r="L2458" i="1"/>
  <c r="BW2457" i="1"/>
  <c r="BJ2457" i="1"/>
  <c r="BD2457" i="1"/>
  <c r="AP2457" i="1"/>
  <c r="AO2457" i="1"/>
  <c r="AW2457" i="1" s="1"/>
  <c r="AK2457" i="1"/>
  <c r="AJ2457" i="1"/>
  <c r="AH2457" i="1"/>
  <c r="AG2457" i="1"/>
  <c r="AF2457" i="1"/>
  <c r="AC2457" i="1"/>
  <c r="AB2457" i="1"/>
  <c r="Z2457" i="1"/>
  <c r="O2457" i="1"/>
  <c r="BF2457" i="1" s="1"/>
  <c r="L2457" i="1"/>
  <c r="AL2457" i="1" s="1"/>
  <c r="BW2456" i="1"/>
  <c r="BJ2456" i="1"/>
  <c r="Z2456" i="1" s="1"/>
  <c r="BD2456" i="1"/>
  <c r="AP2456" i="1"/>
  <c r="AX2456" i="1" s="1"/>
  <c r="AO2456" i="1"/>
  <c r="BH2456" i="1" s="1"/>
  <c r="AK2456" i="1"/>
  <c r="AJ2456" i="1"/>
  <c r="AH2456" i="1"/>
  <c r="AG2456" i="1"/>
  <c r="AF2456" i="1"/>
  <c r="AE2456" i="1"/>
  <c r="AD2456" i="1"/>
  <c r="AC2456" i="1"/>
  <c r="AB2456" i="1"/>
  <c r="O2456" i="1"/>
  <c r="BF2456" i="1" s="1"/>
  <c r="L2456" i="1"/>
  <c r="AL2456" i="1" s="1"/>
  <c r="BW2454" i="1"/>
  <c r="BJ2454" i="1"/>
  <c r="BD2454" i="1"/>
  <c r="AP2454" i="1"/>
  <c r="AX2454" i="1" s="1"/>
  <c r="AO2454" i="1"/>
  <c r="BH2454" i="1" s="1"/>
  <c r="AD2454" i="1" s="1"/>
  <c r="AK2454" i="1"/>
  <c r="AJ2454" i="1"/>
  <c r="AH2454" i="1"/>
  <c r="AG2454" i="1"/>
  <c r="AF2454" i="1"/>
  <c r="AC2454" i="1"/>
  <c r="AB2454" i="1"/>
  <c r="Z2454" i="1"/>
  <c r="O2454" i="1"/>
  <c r="BF2454" i="1" s="1"/>
  <c r="L2454" i="1"/>
  <c r="BW2453" i="1"/>
  <c r="BJ2453" i="1"/>
  <c r="BD2453" i="1"/>
  <c r="AP2453" i="1"/>
  <c r="AO2453" i="1"/>
  <c r="AW2453" i="1" s="1"/>
  <c r="AK2453" i="1"/>
  <c r="AJ2453" i="1"/>
  <c r="AH2453" i="1"/>
  <c r="AG2453" i="1"/>
  <c r="AF2453" i="1"/>
  <c r="AC2453" i="1"/>
  <c r="AB2453" i="1"/>
  <c r="Z2453" i="1"/>
  <c r="O2453" i="1"/>
  <c r="BF2453" i="1" s="1"/>
  <c r="L2453" i="1"/>
  <c r="AL2453" i="1" s="1"/>
  <c r="BW2451" i="1"/>
  <c r="BJ2451" i="1"/>
  <c r="BD2451" i="1"/>
  <c r="AP2451" i="1"/>
  <c r="BI2451" i="1" s="1"/>
  <c r="AE2451" i="1" s="1"/>
  <c r="AO2451" i="1"/>
  <c r="BH2451" i="1" s="1"/>
  <c r="AD2451" i="1" s="1"/>
  <c r="AK2451" i="1"/>
  <c r="AJ2451" i="1"/>
  <c r="AH2451" i="1"/>
  <c r="AG2451" i="1"/>
  <c r="AF2451" i="1"/>
  <c r="AC2451" i="1"/>
  <c r="AB2451" i="1"/>
  <c r="Z2451" i="1"/>
  <c r="O2451" i="1"/>
  <c r="BF2451" i="1" s="1"/>
  <c r="L2451" i="1"/>
  <c r="AL2451" i="1" s="1"/>
  <c r="K2451" i="1"/>
  <c r="BW2449" i="1"/>
  <c r="BJ2449" i="1"/>
  <c r="BD2449" i="1"/>
  <c r="AP2449" i="1"/>
  <c r="AX2449" i="1" s="1"/>
  <c r="AO2449" i="1"/>
  <c r="BH2449" i="1" s="1"/>
  <c r="AD2449" i="1" s="1"/>
  <c r="AK2449" i="1"/>
  <c r="AJ2449" i="1"/>
  <c r="AH2449" i="1"/>
  <c r="AG2449" i="1"/>
  <c r="AF2449" i="1"/>
  <c r="AC2449" i="1"/>
  <c r="AB2449" i="1"/>
  <c r="Z2449" i="1"/>
  <c r="O2449" i="1"/>
  <c r="BF2449" i="1" s="1"/>
  <c r="L2449" i="1"/>
  <c r="BW2447" i="1"/>
  <c r="BJ2447" i="1"/>
  <c r="BD2447" i="1"/>
  <c r="AP2447" i="1"/>
  <c r="AO2447" i="1"/>
  <c r="AW2447" i="1" s="1"/>
  <c r="AK2447" i="1"/>
  <c r="AJ2447" i="1"/>
  <c r="AH2447" i="1"/>
  <c r="AG2447" i="1"/>
  <c r="AF2447" i="1"/>
  <c r="AC2447" i="1"/>
  <c r="AB2447" i="1"/>
  <c r="Z2447" i="1"/>
  <c r="O2447" i="1"/>
  <c r="BF2447" i="1" s="1"/>
  <c r="L2447" i="1"/>
  <c r="AL2447" i="1" s="1"/>
  <c r="BW2445" i="1"/>
  <c r="BJ2445" i="1"/>
  <c r="BD2445" i="1"/>
  <c r="AP2445" i="1"/>
  <c r="K2445" i="1" s="1"/>
  <c r="AO2445" i="1"/>
  <c r="AK2445" i="1"/>
  <c r="AJ2445" i="1"/>
  <c r="AH2445" i="1"/>
  <c r="AG2445" i="1"/>
  <c r="AF2445" i="1"/>
  <c r="AC2445" i="1"/>
  <c r="AB2445" i="1"/>
  <c r="Z2445" i="1"/>
  <c r="O2445" i="1"/>
  <c r="BF2445" i="1" s="1"/>
  <c r="L2445" i="1"/>
  <c r="AL2445" i="1" s="1"/>
  <c r="BW2443" i="1"/>
  <c r="BJ2443" i="1"/>
  <c r="BD2443" i="1"/>
  <c r="AP2443" i="1"/>
  <c r="K2443" i="1" s="1"/>
  <c r="AO2443" i="1"/>
  <c r="BH2443" i="1" s="1"/>
  <c r="AD2443" i="1" s="1"/>
  <c r="AK2443" i="1"/>
  <c r="AJ2443" i="1"/>
  <c r="AH2443" i="1"/>
  <c r="AG2443" i="1"/>
  <c r="AF2443" i="1"/>
  <c r="AC2443" i="1"/>
  <c r="AB2443" i="1"/>
  <c r="Z2443" i="1"/>
  <c r="O2443" i="1"/>
  <c r="BF2443" i="1" s="1"/>
  <c r="L2443" i="1"/>
  <c r="BW2441" i="1"/>
  <c r="BJ2441" i="1"/>
  <c r="BD2441" i="1"/>
  <c r="AP2441" i="1"/>
  <c r="AO2441" i="1"/>
  <c r="AW2441" i="1" s="1"/>
  <c r="AK2441" i="1"/>
  <c r="AJ2441" i="1"/>
  <c r="AH2441" i="1"/>
  <c r="AG2441" i="1"/>
  <c r="AF2441" i="1"/>
  <c r="AC2441" i="1"/>
  <c r="AB2441" i="1"/>
  <c r="Z2441" i="1"/>
  <c r="O2441" i="1"/>
  <c r="BF2441" i="1" s="1"/>
  <c r="L2441" i="1"/>
  <c r="AL2441" i="1" s="1"/>
  <c r="BW2439" i="1"/>
  <c r="BJ2439" i="1"/>
  <c r="BD2439" i="1"/>
  <c r="AP2439" i="1"/>
  <c r="BI2439" i="1" s="1"/>
  <c r="AE2439" i="1" s="1"/>
  <c r="AO2439" i="1"/>
  <c r="AK2439" i="1"/>
  <c r="AJ2439" i="1"/>
  <c r="AH2439" i="1"/>
  <c r="AG2439" i="1"/>
  <c r="AF2439" i="1"/>
  <c r="AC2439" i="1"/>
  <c r="AB2439" i="1"/>
  <c r="Z2439" i="1"/>
  <c r="O2439" i="1"/>
  <c r="BF2439" i="1" s="1"/>
  <c r="L2439" i="1"/>
  <c r="BW2437" i="1"/>
  <c r="BJ2437" i="1"/>
  <c r="BD2437" i="1"/>
  <c r="AP2437" i="1"/>
  <c r="K2437" i="1" s="1"/>
  <c r="AO2437" i="1"/>
  <c r="BH2437" i="1" s="1"/>
  <c r="AD2437" i="1" s="1"/>
  <c r="AK2437" i="1"/>
  <c r="AJ2437" i="1"/>
  <c r="AH2437" i="1"/>
  <c r="AG2437" i="1"/>
  <c r="AF2437" i="1"/>
  <c r="AC2437" i="1"/>
  <c r="AB2437" i="1"/>
  <c r="Z2437" i="1"/>
  <c r="O2437" i="1"/>
  <c r="BF2437" i="1" s="1"/>
  <c r="L2437" i="1"/>
  <c r="BW2435" i="1"/>
  <c r="BJ2435" i="1"/>
  <c r="BD2435" i="1"/>
  <c r="AP2435" i="1"/>
  <c r="AO2435" i="1"/>
  <c r="AW2435" i="1" s="1"/>
  <c r="AK2435" i="1"/>
  <c r="AJ2435" i="1"/>
  <c r="AH2435" i="1"/>
  <c r="AG2435" i="1"/>
  <c r="AF2435" i="1"/>
  <c r="AC2435" i="1"/>
  <c r="AB2435" i="1"/>
  <c r="Z2435" i="1"/>
  <c r="O2435" i="1"/>
  <c r="BF2435" i="1" s="1"/>
  <c r="L2435" i="1"/>
  <c r="BW2434" i="1"/>
  <c r="BJ2434" i="1"/>
  <c r="BD2434" i="1"/>
  <c r="AP2434" i="1"/>
  <c r="AO2434" i="1"/>
  <c r="AW2434" i="1" s="1"/>
  <c r="AK2434" i="1"/>
  <c r="AJ2434" i="1"/>
  <c r="AH2434" i="1"/>
  <c r="AG2434" i="1"/>
  <c r="AF2434" i="1"/>
  <c r="AC2434" i="1"/>
  <c r="AB2434" i="1"/>
  <c r="Z2434" i="1"/>
  <c r="O2434" i="1"/>
  <c r="BF2434" i="1" s="1"/>
  <c r="L2434" i="1"/>
  <c r="BW2433" i="1"/>
  <c r="BJ2433" i="1"/>
  <c r="BD2433" i="1"/>
  <c r="AP2433" i="1"/>
  <c r="BI2433" i="1" s="1"/>
  <c r="AE2433" i="1" s="1"/>
  <c r="AO2433" i="1"/>
  <c r="BH2433" i="1" s="1"/>
  <c r="AD2433" i="1" s="1"/>
  <c r="AK2433" i="1"/>
  <c r="AJ2433" i="1"/>
  <c r="AH2433" i="1"/>
  <c r="AG2433" i="1"/>
  <c r="AF2433" i="1"/>
  <c r="AC2433" i="1"/>
  <c r="AB2433" i="1"/>
  <c r="Z2433" i="1"/>
  <c r="O2433" i="1"/>
  <c r="BF2433" i="1" s="1"/>
  <c r="L2433" i="1"/>
  <c r="BW2431" i="1"/>
  <c r="BJ2431" i="1"/>
  <c r="BD2431" i="1"/>
  <c r="AP2431" i="1"/>
  <c r="AO2431" i="1"/>
  <c r="AW2431" i="1" s="1"/>
  <c r="AK2431" i="1"/>
  <c r="AJ2431" i="1"/>
  <c r="AH2431" i="1"/>
  <c r="AG2431" i="1"/>
  <c r="AF2431" i="1"/>
  <c r="AC2431" i="1"/>
  <c r="AB2431" i="1"/>
  <c r="Z2431" i="1"/>
  <c r="O2431" i="1"/>
  <c r="BF2431" i="1" s="1"/>
  <c r="L2431" i="1"/>
  <c r="AL2431" i="1" s="1"/>
  <c r="BW2430" i="1"/>
  <c r="BJ2430" i="1"/>
  <c r="BD2430" i="1"/>
  <c r="AP2430" i="1"/>
  <c r="BI2430" i="1" s="1"/>
  <c r="AE2430" i="1" s="1"/>
  <c r="AO2430" i="1"/>
  <c r="AW2430" i="1" s="1"/>
  <c r="AK2430" i="1"/>
  <c r="AJ2430" i="1"/>
  <c r="AH2430" i="1"/>
  <c r="AG2430" i="1"/>
  <c r="AF2430" i="1"/>
  <c r="AC2430" i="1"/>
  <c r="AB2430" i="1"/>
  <c r="Z2430" i="1"/>
  <c r="O2430" i="1"/>
  <c r="BF2430" i="1" s="1"/>
  <c r="L2430" i="1"/>
  <c r="BW2429" i="1"/>
  <c r="BJ2429" i="1"/>
  <c r="BD2429" i="1"/>
  <c r="AP2429" i="1"/>
  <c r="BI2429" i="1" s="1"/>
  <c r="AE2429" i="1" s="1"/>
  <c r="AO2429" i="1"/>
  <c r="BH2429" i="1" s="1"/>
  <c r="AD2429" i="1" s="1"/>
  <c r="AK2429" i="1"/>
  <c r="AJ2429" i="1"/>
  <c r="AH2429" i="1"/>
  <c r="AG2429" i="1"/>
  <c r="AF2429" i="1"/>
  <c r="AC2429" i="1"/>
  <c r="AB2429" i="1"/>
  <c r="Z2429" i="1"/>
  <c r="O2429" i="1"/>
  <c r="BF2429" i="1" s="1"/>
  <c r="L2429" i="1"/>
  <c r="BW2428" i="1"/>
  <c r="BJ2428" i="1"/>
  <c r="BD2428" i="1"/>
  <c r="AP2428" i="1"/>
  <c r="AO2428" i="1"/>
  <c r="AW2428" i="1" s="1"/>
  <c r="AK2428" i="1"/>
  <c r="AJ2428" i="1"/>
  <c r="AH2428" i="1"/>
  <c r="AG2428" i="1"/>
  <c r="AF2428" i="1"/>
  <c r="AC2428" i="1"/>
  <c r="AB2428" i="1"/>
  <c r="Z2428" i="1"/>
  <c r="O2428" i="1"/>
  <c r="BF2428" i="1" s="1"/>
  <c r="L2428" i="1"/>
  <c r="AL2428" i="1" s="1"/>
  <c r="BW2426" i="1"/>
  <c r="BJ2426" i="1"/>
  <c r="BD2426" i="1"/>
  <c r="AP2426" i="1"/>
  <c r="K2426" i="1" s="1"/>
  <c r="AO2426" i="1"/>
  <c r="AK2426" i="1"/>
  <c r="AJ2426" i="1"/>
  <c r="AH2426" i="1"/>
  <c r="AG2426" i="1"/>
  <c r="AF2426" i="1"/>
  <c r="AC2426" i="1"/>
  <c r="AB2426" i="1"/>
  <c r="Z2426" i="1"/>
  <c r="O2426" i="1"/>
  <c r="BF2426" i="1" s="1"/>
  <c r="L2426" i="1"/>
  <c r="BW2424" i="1"/>
  <c r="BJ2424" i="1"/>
  <c r="BD2424" i="1"/>
  <c r="AP2424" i="1"/>
  <c r="AO2424" i="1"/>
  <c r="BH2424" i="1" s="1"/>
  <c r="AD2424" i="1" s="1"/>
  <c r="AK2424" i="1"/>
  <c r="AJ2424" i="1"/>
  <c r="AH2424" i="1"/>
  <c r="AG2424" i="1"/>
  <c r="AF2424" i="1"/>
  <c r="AC2424" i="1"/>
  <c r="AB2424" i="1"/>
  <c r="Z2424" i="1"/>
  <c r="O2424" i="1"/>
  <c r="BF2424" i="1" s="1"/>
  <c r="L2424" i="1"/>
  <c r="BW2422" i="1"/>
  <c r="BJ2422" i="1"/>
  <c r="BD2422" i="1"/>
  <c r="AP2422" i="1"/>
  <c r="AO2422" i="1"/>
  <c r="AW2422" i="1" s="1"/>
  <c r="AK2422" i="1"/>
  <c r="AJ2422" i="1"/>
  <c r="AH2422" i="1"/>
  <c r="AG2422" i="1"/>
  <c r="AF2422" i="1"/>
  <c r="AC2422" i="1"/>
  <c r="AB2422" i="1"/>
  <c r="Z2422" i="1"/>
  <c r="O2422" i="1"/>
  <c r="BF2422" i="1" s="1"/>
  <c r="L2422" i="1"/>
  <c r="BW2420" i="1"/>
  <c r="BJ2420" i="1"/>
  <c r="BD2420" i="1"/>
  <c r="AP2420" i="1"/>
  <c r="BI2420" i="1" s="1"/>
  <c r="AE2420" i="1" s="1"/>
  <c r="AO2420" i="1"/>
  <c r="BH2420" i="1" s="1"/>
  <c r="AD2420" i="1" s="1"/>
  <c r="AK2420" i="1"/>
  <c r="AJ2420" i="1"/>
  <c r="AH2420" i="1"/>
  <c r="AG2420" i="1"/>
  <c r="AF2420" i="1"/>
  <c r="AC2420" i="1"/>
  <c r="AB2420" i="1"/>
  <c r="Z2420" i="1"/>
  <c r="O2420" i="1"/>
  <c r="BF2420" i="1" s="1"/>
  <c r="L2420" i="1"/>
  <c r="K2420" i="1"/>
  <c r="BW2418" i="1"/>
  <c r="BJ2418" i="1"/>
  <c r="BD2418" i="1"/>
  <c r="AP2418" i="1"/>
  <c r="BI2418" i="1" s="1"/>
  <c r="AE2418" i="1" s="1"/>
  <c r="AO2418" i="1"/>
  <c r="AW2418" i="1" s="1"/>
  <c r="AK2418" i="1"/>
  <c r="AJ2418" i="1"/>
  <c r="AH2418" i="1"/>
  <c r="AG2418" i="1"/>
  <c r="AF2418" i="1"/>
  <c r="AC2418" i="1"/>
  <c r="AB2418" i="1"/>
  <c r="Z2418" i="1"/>
  <c r="O2418" i="1"/>
  <c r="BF2418" i="1" s="1"/>
  <c r="L2418" i="1"/>
  <c r="BW2417" i="1"/>
  <c r="BJ2417" i="1"/>
  <c r="BD2417" i="1"/>
  <c r="AP2417" i="1"/>
  <c r="AO2417" i="1"/>
  <c r="AW2417" i="1" s="1"/>
  <c r="AK2417" i="1"/>
  <c r="AJ2417" i="1"/>
  <c r="AH2417" i="1"/>
  <c r="AG2417" i="1"/>
  <c r="AF2417" i="1"/>
  <c r="AC2417" i="1"/>
  <c r="AB2417" i="1"/>
  <c r="Z2417" i="1"/>
  <c r="O2417" i="1"/>
  <c r="BF2417" i="1" s="1"/>
  <c r="L2417" i="1"/>
  <c r="AL2417" i="1" s="1"/>
  <c r="BW2416" i="1"/>
  <c r="BJ2416" i="1"/>
  <c r="BD2416" i="1"/>
  <c r="AP2416" i="1"/>
  <c r="BI2416" i="1" s="1"/>
  <c r="AE2416" i="1" s="1"/>
  <c r="AO2416" i="1"/>
  <c r="J2416" i="1" s="1"/>
  <c r="AK2416" i="1"/>
  <c r="AJ2416" i="1"/>
  <c r="AH2416" i="1"/>
  <c r="AG2416" i="1"/>
  <c r="AF2416" i="1"/>
  <c r="AC2416" i="1"/>
  <c r="AB2416" i="1"/>
  <c r="Z2416" i="1"/>
  <c r="O2416" i="1"/>
  <c r="BF2416" i="1" s="1"/>
  <c r="L2416" i="1"/>
  <c r="BW2415" i="1"/>
  <c r="BJ2415" i="1"/>
  <c r="BD2415" i="1"/>
  <c r="AP2415" i="1"/>
  <c r="AO2415" i="1"/>
  <c r="AK2415" i="1"/>
  <c r="AJ2415" i="1"/>
  <c r="AH2415" i="1"/>
  <c r="AG2415" i="1"/>
  <c r="AF2415" i="1"/>
  <c r="AC2415" i="1"/>
  <c r="AB2415" i="1"/>
  <c r="Z2415" i="1"/>
  <c r="O2415" i="1"/>
  <c r="BF2415" i="1" s="1"/>
  <c r="L2415" i="1"/>
  <c r="AL2415" i="1" s="1"/>
  <c r="BW2414" i="1"/>
  <c r="BJ2414" i="1"/>
  <c r="BD2414" i="1"/>
  <c r="AP2414" i="1"/>
  <c r="BI2414" i="1" s="1"/>
  <c r="AE2414" i="1" s="1"/>
  <c r="AO2414" i="1"/>
  <c r="J2414" i="1" s="1"/>
  <c r="AK2414" i="1"/>
  <c r="AJ2414" i="1"/>
  <c r="AH2414" i="1"/>
  <c r="AG2414" i="1"/>
  <c r="AF2414" i="1"/>
  <c r="AC2414" i="1"/>
  <c r="AB2414" i="1"/>
  <c r="Z2414" i="1"/>
  <c r="O2414" i="1"/>
  <c r="BF2414" i="1" s="1"/>
  <c r="L2414" i="1"/>
  <c r="AL2414" i="1" s="1"/>
  <c r="BW2412" i="1"/>
  <c r="BJ2412" i="1"/>
  <c r="BD2412" i="1"/>
  <c r="AP2412" i="1"/>
  <c r="AX2412" i="1" s="1"/>
  <c r="AO2412" i="1"/>
  <c r="AW2412" i="1" s="1"/>
  <c r="AK2412" i="1"/>
  <c r="AJ2412" i="1"/>
  <c r="AH2412" i="1"/>
  <c r="AG2412" i="1"/>
  <c r="AF2412" i="1"/>
  <c r="AC2412" i="1"/>
  <c r="AB2412" i="1"/>
  <c r="Z2412" i="1"/>
  <c r="O2412" i="1"/>
  <c r="BF2412" i="1" s="1"/>
  <c r="L2412" i="1"/>
  <c r="AL2412" i="1" s="1"/>
  <c r="BW2411" i="1"/>
  <c r="BJ2411" i="1"/>
  <c r="Z2411" i="1" s="1"/>
  <c r="BD2411" i="1"/>
  <c r="AP2411" i="1"/>
  <c r="BI2411" i="1" s="1"/>
  <c r="AO2411" i="1"/>
  <c r="BH2411" i="1" s="1"/>
  <c r="AK2411" i="1"/>
  <c r="AJ2411" i="1"/>
  <c r="AH2411" i="1"/>
  <c r="AG2411" i="1"/>
  <c r="AF2411" i="1"/>
  <c r="AE2411" i="1"/>
  <c r="AD2411" i="1"/>
  <c r="AC2411" i="1"/>
  <c r="AB2411" i="1"/>
  <c r="O2411" i="1"/>
  <c r="BF2411" i="1" s="1"/>
  <c r="L2411" i="1"/>
  <c r="BW2410" i="1"/>
  <c r="BJ2410" i="1"/>
  <c r="BD2410" i="1"/>
  <c r="AP2410" i="1"/>
  <c r="AO2410" i="1"/>
  <c r="BH2410" i="1" s="1"/>
  <c r="AD2410" i="1" s="1"/>
  <c r="AK2410" i="1"/>
  <c r="AJ2410" i="1"/>
  <c r="AH2410" i="1"/>
  <c r="AG2410" i="1"/>
  <c r="AF2410" i="1"/>
  <c r="AC2410" i="1"/>
  <c r="AB2410" i="1"/>
  <c r="Z2410" i="1"/>
  <c r="O2410" i="1"/>
  <c r="BF2410" i="1" s="1"/>
  <c r="L2410" i="1"/>
  <c r="AL2410" i="1" s="1"/>
  <c r="BW2409" i="1"/>
  <c r="BJ2409" i="1"/>
  <c r="BD2409" i="1"/>
  <c r="AP2409" i="1"/>
  <c r="AX2409" i="1" s="1"/>
  <c r="AO2409" i="1"/>
  <c r="AK2409" i="1"/>
  <c r="AJ2409" i="1"/>
  <c r="AH2409" i="1"/>
  <c r="AG2409" i="1"/>
  <c r="AF2409" i="1"/>
  <c r="AC2409" i="1"/>
  <c r="AB2409" i="1"/>
  <c r="Z2409" i="1"/>
  <c r="O2409" i="1"/>
  <c r="BF2409" i="1" s="1"/>
  <c r="L2409" i="1"/>
  <c r="AL2409" i="1" s="1"/>
  <c r="BW2408" i="1"/>
  <c r="BJ2408" i="1"/>
  <c r="Z2408" i="1" s="1"/>
  <c r="BD2408" i="1"/>
  <c r="AP2408" i="1"/>
  <c r="K2408" i="1" s="1"/>
  <c r="AO2408" i="1"/>
  <c r="AW2408" i="1" s="1"/>
  <c r="AK2408" i="1"/>
  <c r="AJ2408" i="1"/>
  <c r="AH2408" i="1"/>
  <c r="AG2408" i="1"/>
  <c r="AF2408" i="1"/>
  <c r="AE2408" i="1"/>
  <c r="AD2408" i="1"/>
  <c r="AC2408" i="1"/>
  <c r="AB2408" i="1"/>
  <c r="O2408" i="1"/>
  <c r="BF2408" i="1" s="1"/>
  <c r="L2408" i="1"/>
  <c r="AL2408" i="1" s="1"/>
  <c r="BW2406" i="1"/>
  <c r="BJ2406" i="1"/>
  <c r="BD2406" i="1"/>
  <c r="AP2406" i="1"/>
  <c r="AO2406" i="1"/>
  <c r="AK2406" i="1"/>
  <c r="AJ2406" i="1"/>
  <c r="AH2406" i="1"/>
  <c r="AG2406" i="1"/>
  <c r="AF2406" i="1"/>
  <c r="AC2406" i="1"/>
  <c r="AB2406" i="1"/>
  <c r="Z2406" i="1"/>
  <c r="O2406" i="1"/>
  <c r="BF2406" i="1" s="1"/>
  <c r="L2406" i="1"/>
  <c r="AL2406" i="1" s="1"/>
  <c r="BW2404" i="1"/>
  <c r="BJ2404" i="1"/>
  <c r="BD2404" i="1"/>
  <c r="AP2404" i="1"/>
  <c r="AX2404" i="1" s="1"/>
  <c r="AO2404" i="1"/>
  <c r="AW2404" i="1" s="1"/>
  <c r="AK2404" i="1"/>
  <c r="AJ2404" i="1"/>
  <c r="AH2404" i="1"/>
  <c r="AG2404" i="1"/>
  <c r="AF2404" i="1"/>
  <c r="AC2404" i="1"/>
  <c r="AB2404" i="1"/>
  <c r="Z2404" i="1"/>
  <c r="O2404" i="1"/>
  <c r="BF2404" i="1" s="1"/>
  <c r="L2404" i="1"/>
  <c r="AL2404" i="1" s="1"/>
  <c r="BW2402" i="1"/>
  <c r="BJ2402" i="1"/>
  <c r="BD2402" i="1"/>
  <c r="AP2402" i="1"/>
  <c r="AX2402" i="1" s="1"/>
  <c r="AO2402" i="1"/>
  <c r="AW2402" i="1" s="1"/>
  <c r="AK2402" i="1"/>
  <c r="AJ2402" i="1"/>
  <c r="AH2402" i="1"/>
  <c r="AG2402" i="1"/>
  <c r="AF2402" i="1"/>
  <c r="AC2402" i="1"/>
  <c r="AB2402" i="1"/>
  <c r="Z2402" i="1"/>
  <c r="O2402" i="1"/>
  <c r="BF2402" i="1" s="1"/>
  <c r="L2402" i="1"/>
  <c r="AL2402" i="1" s="1"/>
  <c r="K2402" i="1"/>
  <c r="BW2400" i="1"/>
  <c r="BJ2400" i="1"/>
  <c r="BD2400" i="1"/>
  <c r="AP2400" i="1"/>
  <c r="AO2400" i="1"/>
  <c r="AK2400" i="1"/>
  <c r="AJ2400" i="1"/>
  <c r="AH2400" i="1"/>
  <c r="AG2400" i="1"/>
  <c r="AF2400" i="1"/>
  <c r="AC2400" i="1"/>
  <c r="AB2400" i="1"/>
  <c r="Z2400" i="1"/>
  <c r="O2400" i="1"/>
  <c r="BF2400" i="1" s="1"/>
  <c r="L2400" i="1"/>
  <c r="AL2400" i="1" s="1"/>
  <c r="BW2399" i="1"/>
  <c r="BJ2399" i="1"/>
  <c r="Z2399" i="1" s="1"/>
  <c r="BD2399" i="1"/>
  <c r="AP2399" i="1"/>
  <c r="K2399" i="1" s="1"/>
  <c r="AO2399" i="1"/>
  <c r="AW2399" i="1" s="1"/>
  <c r="AK2399" i="1"/>
  <c r="AJ2399" i="1"/>
  <c r="AH2399" i="1"/>
  <c r="AG2399" i="1"/>
  <c r="AF2399" i="1"/>
  <c r="AE2399" i="1"/>
  <c r="AD2399" i="1"/>
  <c r="AC2399" i="1"/>
  <c r="AB2399" i="1"/>
  <c r="O2399" i="1"/>
  <c r="BF2399" i="1" s="1"/>
  <c r="L2399" i="1"/>
  <c r="AL2399" i="1" s="1"/>
  <c r="BW2398" i="1"/>
  <c r="BJ2398" i="1"/>
  <c r="BD2398" i="1"/>
  <c r="AP2398" i="1"/>
  <c r="BI2398" i="1" s="1"/>
  <c r="AE2398" i="1" s="1"/>
  <c r="AO2398" i="1"/>
  <c r="AW2398" i="1" s="1"/>
  <c r="AK2398" i="1"/>
  <c r="AJ2398" i="1"/>
  <c r="AH2398" i="1"/>
  <c r="AG2398" i="1"/>
  <c r="AF2398" i="1"/>
  <c r="AC2398" i="1"/>
  <c r="AB2398" i="1"/>
  <c r="Z2398" i="1"/>
  <c r="O2398" i="1"/>
  <c r="BF2398" i="1" s="1"/>
  <c r="L2398" i="1"/>
  <c r="AL2398" i="1" s="1"/>
  <c r="K2398" i="1"/>
  <c r="J2398" i="1"/>
  <c r="BW2397" i="1"/>
  <c r="BJ2397" i="1"/>
  <c r="BD2397" i="1"/>
  <c r="AP2397" i="1"/>
  <c r="AO2397" i="1"/>
  <c r="AK2397" i="1"/>
  <c r="AJ2397" i="1"/>
  <c r="AH2397" i="1"/>
  <c r="AG2397" i="1"/>
  <c r="AF2397" i="1"/>
  <c r="AC2397" i="1"/>
  <c r="AB2397" i="1"/>
  <c r="Z2397" i="1"/>
  <c r="O2397" i="1"/>
  <c r="BF2397" i="1" s="1"/>
  <c r="L2397" i="1"/>
  <c r="AL2397" i="1" s="1"/>
  <c r="BW2396" i="1"/>
  <c r="BJ2396" i="1"/>
  <c r="BD2396" i="1"/>
  <c r="AP2396" i="1"/>
  <c r="BI2396" i="1" s="1"/>
  <c r="AE2396" i="1" s="1"/>
  <c r="AO2396" i="1"/>
  <c r="AW2396" i="1" s="1"/>
  <c r="AK2396" i="1"/>
  <c r="AJ2396" i="1"/>
  <c r="AH2396" i="1"/>
  <c r="AG2396" i="1"/>
  <c r="AF2396" i="1"/>
  <c r="AC2396" i="1"/>
  <c r="AB2396" i="1"/>
  <c r="Z2396" i="1"/>
  <c r="O2396" i="1"/>
  <c r="BF2396" i="1" s="1"/>
  <c r="L2396" i="1"/>
  <c r="AL2396" i="1" s="1"/>
  <c r="K2396" i="1"/>
  <c r="BW2395" i="1"/>
  <c r="BJ2395" i="1"/>
  <c r="BD2395" i="1"/>
  <c r="AP2395" i="1"/>
  <c r="K2395" i="1" s="1"/>
  <c r="AO2395" i="1"/>
  <c r="AW2395" i="1" s="1"/>
  <c r="AK2395" i="1"/>
  <c r="AJ2395" i="1"/>
  <c r="AH2395" i="1"/>
  <c r="AG2395" i="1"/>
  <c r="AF2395" i="1"/>
  <c r="AC2395" i="1"/>
  <c r="AB2395" i="1"/>
  <c r="Z2395" i="1"/>
  <c r="O2395" i="1"/>
  <c r="BF2395" i="1" s="1"/>
  <c r="L2395" i="1"/>
  <c r="AL2395" i="1" s="1"/>
  <c r="BW2393" i="1"/>
  <c r="BJ2393" i="1"/>
  <c r="BD2393" i="1"/>
  <c r="AP2393" i="1"/>
  <c r="AO2393" i="1"/>
  <c r="AK2393" i="1"/>
  <c r="AJ2393" i="1"/>
  <c r="AH2393" i="1"/>
  <c r="AG2393" i="1"/>
  <c r="AF2393" i="1"/>
  <c r="AC2393" i="1"/>
  <c r="AB2393" i="1"/>
  <c r="Z2393" i="1"/>
  <c r="O2393" i="1"/>
  <c r="BF2393" i="1" s="1"/>
  <c r="L2393" i="1"/>
  <c r="AL2393" i="1" s="1"/>
  <c r="BW2391" i="1"/>
  <c r="BJ2391" i="1"/>
  <c r="BD2391" i="1"/>
  <c r="AP2391" i="1"/>
  <c r="AX2391" i="1" s="1"/>
  <c r="AO2391" i="1"/>
  <c r="AW2391" i="1" s="1"/>
  <c r="AK2391" i="1"/>
  <c r="AJ2391" i="1"/>
  <c r="AH2391" i="1"/>
  <c r="AG2391" i="1"/>
  <c r="AF2391" i="1"/>
  <c r="AC2391" i="1"/>
  <c r="AB2391" i="1"/>
  <c r="Z2391" i="1"/>
  <c r="O2391" i="1"/>
  <c r="BF2391" i="1" s="1"/>
  <c r="L2391" i="1"/>
  <c r="AL2391" i="1" s="1"/>
  <c r="BW2390" i="1"/>
  <c r="BJ2390" i="1"/>
  <c r="BD2390" i="1"/>
  <c r="AP2390" i="1"/>
  <c r="BI2390" i="1" s="1"/>
  <c r="AE2390" i="1" s="1"/>
  <c r="AO2390" i="1"/>
  <c r="J2390" i="1" s="1"/>
  <c r="AK2390" i="1"/>
  <c r="AJ2390" i="1"/>
  <c r="AH2390" i="1"/>
  <c r="AG2390" i="1"/>
  <c r="AF2390" i="1"/>
  <c r="AC2390" i="1"/>
  <c r="AB2390" i="1"/>
  <c r="Z2390" i="1"/>
  <c r="O2390" i="1"/>
  <c r="BF2390" i="1" s="1"/>
  <c r="L2390" i="1"/>
  <c r="AL2390" i="1" s="1"/>
  <c r="BW2389" i="1"/>
  <c r="BJ2389" i="1"/>
  <c r="BD2389" i="1"/>
  <c r="AP2389" i="1"/>
  <c r="AO2389" i="1"/>
  <c r="AK2389" i="1"/>
  <c r="AJ2389" i="1"/>
  <c r="AH2389" i="1"/>
  <c r="AG2389" i="1"/>
  <c r="AF2389" i="1"/>
  <c r="AC2389" i="1"/>
  <c r="AB2389" i="1"/>
  <c r="Z2389" i="1"/>
  <c r="O2389" i="1"/>
  <c r="BF2389" i="1" s="1"/>
  <c r="L2389" i="1"/>
  <c r="AL2389" i="1" s="1"/>
  <c r="BW2388" i="1"/>
  <c r="BJ2388" i="1"/>
  <c r="BD2388" i="1"/>
  <c r="AP2388" i="1"/>
  <c r="BI2388" i="1" s="1"/>
  <c r="AE2388" i="1" s="1"/>
  <c r="AO2388" i="1"/>
  <c r="AW2388" i="1" s="1"/>
  <c r="AK2388" i="1"/>
  <c r="AJ2388" i="1"/>
  <c r="AH2388" i="1"/>
  <c r="AG2388" i="1"/>
  <c r="AF2388" i="1"/>
  <c r="AC2388" i="1"/>
  <c r="AB2388" i="1"/>
  <c r="Z2388" i="1"/>
  <c r="O2388" i="1"/>
  <c r="BF2388" i="1" s="1"/>
  <c r="L2388" i="1"/>
  <c r="AL2388" i="1" s="1"/>
  <c r="BW2387" i="1"/>
  <c r="BJ2387" i="1"/>
  <c r="BD2387" i="1"/>
  <c r="AP2387" i="1"/>
  <c r="AX2387" i="1" s="1"/>
  <c r="AO2387" i="1"/>
  <c r="AW2387" i="1" s="1"/>
  <c r="AK2387" i="1"/>
  <c r="AJ2387" i="1"/>
  <c r="AH2387" i="1"/>
  <c r="AG2387" i="1"/>
  <c r="AF2387" i="1"/>
  <c r="AC2387" i="1"/>
  <c r="AB2387" i="1"/>
  <c r="Z2387" i="1"/>
  <c r="O2387" i="1"/>
  <c r="BF2387" i="1" s="1"/>
  <c r="L2387" i="1"/>
  <c r="AL2387" i="1" s="1"/>
  <c r="K2387" i="1"/>
  <c r="BW2386" i="1"/>
  <c r="BJ2386" i="1"/>
  <c r="BD2386" i="1"/>
  <c r="AP2386" i="1"/>
  <c r="AO2386" i="1"/>
  <c r="AK2386" i="1"/>
  <c r="AJ2386" i="1"/>
  <c r="AH2386" i="1"/>
  <c r="AG2386" i="1"/>
  <c r="AF2386" i="1"/>
  <c r="AC2386" i="1"/>
  <c r="AB2386" i="1"/>
  <c r="Z2386" i="1"/>
  <c r="O2386" i="1"/>
  <c r="BF2386" i="1" s="1"/>
  <c r="L2386" i="1"/>
  <c r="AL2386" i="1" s="1"/>
  <c r="BW2385" i="1"/>
  <c r="BJ2385" i="1"/>
  <c r="BD2385" i="1"/>
  <c r="AP2385" i="1"/>
  <c r="K2385" i="1" s="1"/>
  <c r="AO2385" i="1"/>
  <c r="AW2385" i="1" s="1"/>
  <c r="AK2385" i="1"/>
  <c r="AJ2385" i="1"/>
  <c r="AH2385" i="1"/>
  <c r="AG2385" i="1"/>
  <c r="AF2385" i="1"/>
  <c r="AC2385" i="1"/>
  <c r="AB2385" i="1"/>
  <c r="Z2385" i="1"/>
  <c r="O2385" i="1"/>
  <c r="BF2385" i="1" s="1"/>
  <c r="L2385" i="1"/>
  <c r="AL2385" i="1" s="1"/>
  <c r="BW2383" i="1"/>
  <c r="BJ2383" i="1"/>
  <c r="BD2383" i="1"/>
  <c r="AP2383" i="1"/>
  <c r="BI2383" i="1" s="1"/>
  <c r="AE2383" i="1" s="1"/>
  <c r="AO2383" i="1"/>
  <c r="AW2383" i="1" s="1"/>
  <c r="AK2383" i="1"/>
  <c r="AJ2383" i="1"/>
  <c r="AH2383" i="1"/>
  <c r="AG2383" i="1"/>
  <c r="AF2383" i="1"/>
  <c r="AC2383" i="1"/>
  <c r="AB2383" i="1"/>
  <c r="Z2383" i="1"/>
  <c r="O2383" i="1"/>
  <c r="BF2383" i="1" s="1"/>
  <c r="L2383" i="1"/>
  <c r="AL2383" i="1" s="1"/>
  <c r="BW2381" i="1"/>
  <c r="BJ2381" i="1"/>
  <c r="BD2381" i="1"/>
  <c r="AP2381" i="1"/>
  <c r="AO2381" i="1"/>
  <c r="AK2381" i="1"/>
  <c r="AJ2381" i="1"/>
  <c r="AH2381" i="1"/>
  <c r="AG2381" i="1"/>
  <c r="AF2381" i="1"/>
  <c r="AC2381" i="1"/>
  <c r="AB2381" i="1"/>
  <c r="Z2381" i="1"/>
  <c r="O2381" i="1"/>
  <c r="BF2381" i="1" s="1"/>
  <c r="L2381" i="1"/>
  <c r="AL2381" i="1" s="1"/>
  <c r="BW2378" i="1"/>
  <c r="BJ2378" i="1"/>
  <c r="BD2378" i="1"/>
  <c r="AP2378" i="1"/>
  <c r="BI2378" i="1" s="1"/>
  <c r="AE2378" i="1" s="1"/>
  <c r="AO2378" i="1"/>
  <c r="AW2378" i="1" s="1"/>
  <c r="AK2378" i="1"/>
  <c r="AJ2378" i="1"/>
  <c r="AH2378" i="1"/>
  <c r="AG2378" i="1"/>
  <c r="AF2378" i="1"/>
  <c r="AC2378" i="1"/>
  <c r="AB2378" i="1"/>
  <c r="Z2378" i="1"/>
  <c r="O2378" i="1"/>
  <c r="BF2378" i="1" s="1"/>
  <c r="L2378" i="1"/>
  <c r="AL2378" i="1" s="1"/>
  <c r="BW2375" i="1"/>
  <c r="BJ2375" i="1"/>
  <c r="BD2375" i="1"/>
  <c r="AP2375" i="1"/>
  <c r="BI2375" i="1" s="1"/>
  <c r="AE2375" i="1" s="1"/>
  <c r="AO2375" i="1"/>
  <c r="AW2375" i="1" s="1"/>
  <c r="AK2375" i="1"/>
  <c r="AJ2375" i="1"/>
  <c r="AH2375" i="1"/>
  <c r="AG2375" i="1"/>
  <c r="AF2375" i="1"/>
  <c r="AC2375" i="1"/>
  <c r="AB2375" i="1"/>
  <c r="Z2375" i="1"/>
  <c r="O2375" i="1"/>
  <c r="BF2375" i="1" s="1"/>
  <c r="L2375" i="1"/>
  <c r="AL2375" i="1" s="1"/>
  <c r="BW2373" i="1"/>
  <c r="BJ2373" i="1"/>
  <c r="BD2373" i="1"/>
  <c r="AP2373" i="1"/>
  <c r="AO2373" i="1"/>
  <c r="AK2373" i="1"/>
  <c r="AJ2373" i="1"/>
  <c r="AH2373" i="1"/>
  <c r="AG2373" i="1"/>
  <c r="AF2373" i="1"/>
  <c r="AC2373" i="1"/>
  <c r="AB2373" i="1"/>
  <c r="Z2373" i="1"/>
  <c r="O2373" i="1"/>
  <c r="BF2373" i="1" s="1"/>
  <c r="L2373" i="1"/>
  <c r="AL2373" i="1" s="1"/>
  <c r="BW2371" i="1"/>
  <c r="BJ2371" i="1"/>
  <c r="BD2371" i="1"/>
  <c r="AP2371" i="1"/>
  <c r="BI2371" i="1" s="1"/>
  <c r="AE2371" i="1" s="1"/>
  <c r="AO2371" i="1"/>
  <c r="AW2371" i="1" s="1"/>
  <c r="AK2371" i="1"/>
  <c r="AJ2371" i="1"/>
  <c r="AH2371" i="1"/>
  <c r="AG2371" i="1"/>
  <c r="AF2371" i="1"/>
  <c r="AC2371" i="1"/>
  <c r="AB2371" i="1"/>
  <c r="Z2371" i="1"/>
  <c r="O2371" i="1"/>
  <c r="BF2371" i="1" s="1"/>
  <c r="L2371" i="1"/>
  <c r="AL2371" i="1" s="1"/>
  <c r="BW2369" i="1"/>
  <c r="BJ2369" i="1"/>
  <c r="BD2369" i="1"/>
  <c r="AP2369" i="1"/>
  <c r="BI2369" i="1" s="1"/>
  <c r="AE2369" i="1" s="1"/>
  <c r="AO2369" i="1"/>
  <c r="AW2369" i="1" s="1"/>
  <c r="AK2369" i="1"/>
  <c r="AJ2369" i="1"/>
  <c r="AH2369" i="1"/>
  <c r="AG2369" i="1"/>
  <c r="AF2369" i="1"/>
  <c r="AC2369" i="1"/>
  <c r="AB2369" i="1"/>
  <c r="Z2369" i="1"/>
  <c r="O2369" i="1"/>
  <c r="BF2369" i="1" s="1"/>
  <c r="L2369" i="1"/>
  <c r="AL2369" i="1" s="1"/>
  <c r="BW2367" i="1"/>
  <c r="BJ2367" i="1"/>
  <c r="BD2367" i="1"/>
  <c r="AP2367" i="1"/>
  <c r="AO2367" i="1"/>
  <c r="AK2367" i="1"/>
  <c r="AJ2367" i="1"/>
  <c r="AH2367" i="1"/>
  <c r="AG2367" i="1"/>
  <c r="AF2367" i="1"/>
  <c r="AC2367" i="1"/>
  <c r="AB2367" i="1"/>
  <c r="Z2367" i="1"/>
  <c r="O2367" i="1"/>
  <c r="BF2367" i="1" s="1"/>
  <c r="L2367" i="1"/>
  <c r="AL2367" i="1" s="1"/>
  <c r="BW2366" i="1"/>
  <c r="BJ2366" i="1"/>
  <c r="BD2366" i="1"/>
  <c r="AP2366" i="1"/>
  <c r="AX2366" i="1" s="1"/>
  <c r="AO2366" i="1"/>
  <c r="AW2366" i="1" s="1"/>
  <c r="AK2366" i="1"/>
  <c r="AJ2366" i="1"/>
  <c r="AH2366" i="1"/>
  <c r="AG2366" i="1"/>
  <c r="AF2366" i="1"/>
  <c r="AC2366" i="1"/>
  <c r="AB2366" i="1"/>
  <c r="Z2366" i="1"/>
  <c r="O2366" i="1"/>
  <c r="BF2366" i="1" s="1"/>
  <c r="L2366" i="1"/>
  <c r="AL2366" i="1" s="1"/>
  <c r="BW2365" i="1"/>
  <c r="BJ2365" i="1"/>
  <c r="BD2365" i="1"/>
  <c r="AP2365" i="1"/>
  <c r="BI2365" i="1" s="1"/>
  <c r="AE2365" i="1" s="1"/>
  <c r="AO2365" i="1"/>
  <c r="AW2365" i="1" s="1"/>
  <c r="AK2365" i="1"/>
  <c r="AJ2365" i="1"/>
  <c r="AH2365" i="1"/>
  <c r="AG2365" i="1"/>
  <c r="AF2365" i="1"/>
  <c r="AC2365" i="1"/>
  <c r="AB2365" i="1"/>
  <c r="Z2365" i="1"/>
  <c r="O2365" i="1"/>
  <c r="BF2365" i="1" s="1"/>
  <c r="L2365" i="1"/>
  <c r="AL2365" i="1" s="1"/>
  <c r="BW2364" i="1"/>
  <c r="BJ2364" i="1"/>
  <c r="BD2364" i="1"/>
  <c r="AP2364" i="1"/>
  <c r="AX2364" i="1" s="1"/>
  <c r="AO2364" i="1"/>
  <c r="AK2364" i="1"/>
  <c r="AJ2364" i="1"/>
  <c r="AH2364" i="1"/>
  <c r="AG2364" i="1"/>
  <c r="AF2364" i="1"/>
  <c r="AC2364" i="1"/>
  <c r="AB2364" i="1"/>
  <c r="Z2364" i="1"/>
  <c r="O2364" i="1"/>
  <c r="L2364" i="1"/>
  <c r="AL2364" i="1" s="1"/>
  <c r="BW2362" i="1"/>
  <c r="BJ2362" i="1"/>
  <c r="BD2362" i="1"/>
  <c r="AP2362" i="1"/>
  <c r="K2362" i="1" s="1"/>
  <c r="AO2362" i="1"/>
  <c r="AW2362" i="1" s="1"/>
  <c r="AK2362" i="1"/>
  <c r="AJ2362" i="1"/>
  <c r="AH2362" i="1"/>
  <c r="AG2362" i="1"/>
  <c r="AF2362" i="1"/>
  <c r="AC2362" i="1"/>
  <c r="AB2362" i="1"/>
  <c r="Z2362" i="1"/>
  <c r="O2362" i="1"/>
  <c r="BF2362" i="1" s="1"/>
  <c r="L2362" i="1"/>
  <c r="BW2360" i="1"/>
  <c r="BJ2360" i="1"/>
  <c r="BD2360" i="1"/>
  <c r="AP2360" i="1"/>
  <c r="AX2360" i="1" s="1"/>
  <c r="AO2360" i="1"/>
  <c r="AW2360" i="1" s="1"/>
  <c r="AK2360" i="1"/>
  <c r="AJ2360" i="1"/>
  <c r="AH2360" i="1"/>
  <c r="AG2360" i="1"/>
  <c r="AF2360" i="1"/>
  <c r="AC2360" i="1"/>
  <c r="AB2360" i="1"/>
  <c r="Z2360" i="1"/>
  <c r="O2360" i="1"/>
  <c r="BF2360" i="1" s="1"/>
  <c r="L2360" i="1"/>
  <c r="AL2360" i="1" s="1"/>
  <c r="BW2358" i="1"/>
  <c r="BJ2358" i="1"/>
  <c r="Z2358" i="1" s="1"/>
  <c r="BD2358" i="1"/>
  <c r="AP2358" i="1"/>
  <c r="BI2358" i="1" s="1"/>
  <c r="AO2358" i="1"/>
  <c r="AW2358" i="1" s="1"/>
  <c r="AK2358" i="1"/>
  <c r="AJ2358" i="1"/>
  <c r="AH2358" i="1"/>
  <c r="AG2358" i="1"/>
  <c r="AF2358" i="1"/>
  <c r="AE2358" i="1"/>
  <c r="AD2358" i="1"/>
  <c r="AC2358" i="1"/>
  <c r="AB2358" i="1"/>
  <c r="O2358" i="1"/>
  <c r="BF2358" i="1" s="1"/>
  <c r="L2358" i="1"/>
  <c r="AL2358" i="1" s="1"/>
  <c r="BW2357" i="1"/>
  <c r="BJ2357" i="1"/>
  <c r="BD2357" i="1"/>
  <c r="AP2357" i="1"/>
  <c r="AX2357" i="1" s="1"/>
  <c r="AO2357" i="1"/>
  <c r="AW2357" i="1" s="1"/>
  <c r="AK2357" i="1"/>
  <c r="AJ2357" i="1"/>
  <c r="AH2357" i="1"/>
  <c r="AG2357" i="1"/>
  <c r="AF2357" i="1"/>
  <c r="AC2357" i="1"/>
  <c r="AB2357" i="1"/>
  <c r="Z2357" i="1"/>
  <c r="O2357" i="1"/>
  <c r="BF2357" i="1" s="1"/>
  <c r="L2357" i="1"/>
  <c r="AL2357" i="1" s="1"/>
  <c r="BW2356" i="1"/>
  <c r="BJ2356" i="1"/>
  <c r="BD2356" i="1"/>
  <c r="AP2356" i="1"/>
  <c r="K2356" i="1" s="1"/>
  <c r="AO2356" i="1"/>
  <c r="AW2356" i="1" s="1"/>
  <c r="AK2356" i="1"/>
  <c r="AJ2356" i="1"/>
  <c r="AH2356" i="1"/>
  <c r="AG2356" i="1"/>
  <c r="AF2356" i="1"/>
  <c r="AC2356" i="1"/>
  <c r="AB2356" i="1"/>
  <c r="Z2356" i="1"/>
  <c r="O2356" i="1"/>
  <c r="BF2356" i="1" s="1"/>
  <c r="L2356" i="1"/>
  <c r="BW2355" i="1"/>
  <c r="BJ2355" i="1"/>
  <c r="BD2355" i="1"/>
  <c r="AP2355" i="1"/>
  <c r="AO2355" i="1"/>
  <c r="AW2355" i="1" s="1"/>
  <c r="AK2355" i="1"/>
  <c r="AJ2355" i="1"/>
  <c r="AH2355" i="1"/>
  <c r="AG2355" i="1"/>
  <c r="AF2355" i="1"/>
  <c r="AC2355" i="1"/>
  <c r="AB2355" i="1"/>
  <c r="Z2355" i="1"/>
  <c r="O2355" i="1"/>
  <c r="BF2355" i="1" s="1"/>
  <c r="L2355" i="1"/>
  <c r="AL2355" i="1" s="1"/>
  <c r="BW2353" i="1"/>
  <c r="BJ2353" i="1"/>
  <c r="BD2353" i="1"/>
  <c r="AP2353" i="1"/>
  <c r="AX2353" i="1" s="1"/>
  <c r="AO2353" i="1"/>
  <c r="AK2353" i="1"/>
  <c r="AJ2353" i="1"/>
  <c r="AH2353" i="1"/>
  <c r="AG2353" i="1"/>
  <c r="AF2353" i="1"/>
  <c r="AC2353" i="1"/>
  <c r="AB2353" i="1"/>
  <c r="Z2353" i="1"/>
  <c r="O2353" i="1"/>
  <c r="BF2353" i="1" s="1"/>
  <c r="L2353" i="1"/>
  <c r="BW2352" i="1"/>
  <c r="BJ2352" i="1"/>
  <c r="BD2352" i="1"/>
  <c r="AP2352" i="1"/>
  <c r="BI2352" i="1" s="1"/>
  <c r="AE2352" i="1" s="1"/>
  <c r="AO2352" i="1"/>
  <c r="J2352" i="1" s="1"/>
  <c r="AK2352" i="1"/>
  <c r="AJ2352" i="1"/>
  <c r="AH2352" i="1"/>
  <c r="AG2352" i="1"/>
  <c r="AF2352" i="1"/>
  <c r="AC2352" i="1"/>
  <c r="AB2352" i="1"/>
  <c r="Z2352" i="1"/>
  <c r="O2352" i="1"/>
  <c r="BF2352" i="1" s="1"/>
  <c r="L2352" i="1"/>
  <c r="BW2350" i="1"/>
  <c r="BJ2350" i="1"/>
  <c r="BD2350" i="1"/>
  <c r="AP2350" i="1"/>
  <c r="AO2350" i="1"/>
  <c r="AK2350" i="1"/>
  <c r="AJ2350" i="1"/>
  <c r="AH2350" i="1"/>
  <c r="AG2350" i="1"/>
  <c r="AF2350" i="1"/>
  <c r="AC2350" i="1"/>
  <c r="AB2350" i="1"/>
  <c r="Z2350" i="1"/>
  <c r="O2350" i="1"/>
  <c r="BF2350" i="1" s="1"/>
  <c r="L2350" i="1"/>
  <c r="K2350" i="1"/>
  <c r="J2350" i="1"/>
  <c r="BW2348" i="1"/>
  <c r="BJ2348" i="1"/>
  <c r="BD2348" i="1"/>
  <c r="AP2348" i="1"/>
  <c r="AO2348" i="1"/>
  <c r="AW2348" i="1" s="1"/>
  <c r="AK2348" i="1"/>
  <c r="AJ2348" i="1"/>
  <c r="AH2348" i="1"/>
  <c r="AG2348" i="1"/>
  <c r="AF2348" i="1"/>
  <c r="AC2348" i="1"/>
  <c r="AB2348" i="1"/>
  <c r="Z2348" i="1"/>
  <c r="O2348" i="1"/>
  <c r="BF2348" i="1" s="1"/>
  <c r="L2348" i="1"/>
  <c r="BW2346" i="1"/>
  <c r="BJ2346" i="1"/>
  <c r="BD2346" i="1"/>
  <c r="AP2346" i="1"/>
  <c r="AX2346" i="1" s="1"/>
  <c r="AO2346" i="1"/>
  <c r="AW2346" i="1" s="1"/>
  <c r="AK2346" i="1"/>
  <c r="AJ2346" i="1"/>
  <c r="AH2346" i="1"/>
  <c r="AG2346" i="1"/>
  <c r="AF2346" i="1"/>
  <c r="AC2346" i="1"/>
  <c r="AB2346" i="1"/>
  <c r="Z2346" i="1"/>
  <c r="O2346" i="1"/>
  <c r="BF2346" i="1" s="1"/>
  <c r="L2346" i="1"/>
  <c r="BW2344" i="1"/>
  <c r="BJ2344" i="1"/>
  <c r="BD2344" i="1"/>
  <c r="AP2344" i="1"/>
  <c r="AX2344" i="1" s="1"/>
  <c r="AO2344" i="1"/>
  <c r="AW2344" i="1" s="1"/>
  <c r="AK2344" i="1"/>
  <c r="AJ2344" i="1"/>
  <c r="AH2344" i="1"/>
  <c r="AG2344" i="1"/>
  <c r="AF2344" i="1"/>
  <c r="AC2344" i="1"/>
  <c r="AB2344" i="1"/>
  <c r="Z2344" i="1"/>
  <c r="O2344" i="1"/>
  <c r="BF2344" i="1" s="1"/>
  <c r="L2344" i="1"/>
  <c r="BW2343" i="1"/>
  <c r="BJ2343" i="1"/>
  <c r="BD2343" i="1"/>
  <c r="AP2343" i="1"/>
  <c r="AX2343" i="1" s="1"/>
  <c r="AO2343" i="1"/>
  <c r="AW2343" i="1" s="1"/>
  <c r="AK2343" i="1"/>
  <c r="AJ2343" i="1"/>
  <c r="AH2343" i="1"/>
  <c r="AG2343" i="1"/>
  <c r="AF2343" i="1"/>
  <c r="AC2343" i="1"/>
  <c r="AB2343" i="1"/>
  <c r="Z2343" i="1"/>
  <c r="O2343" i="1"/>
  <c r="BF2343" i="1" s="1"/>
  <c r="L2343" i="1"/>
  <c r="BW2340" i="1"/>
  <c r="BJ2340" i="1"/>
  <c r="BD2340" i="1"/>
  <c r="AP2340" i="1"/>
  <c r="AO2340" i="1"/>
  <c r="AK2340" i="1"/>
  <c r="AJ2340" i="1"/>
  <c r="AH2340" i="1"/>
  <c r="AG2340" i="1"/>
  <c r="AF2340" i="1"/>
  <c r="AC2340" i="1"/>
  <c r="AB2340" i="1"/>
  <c r="Z2340" i="1"/>
  <c r="O2340" i="1"/>
  <c r="BF2340" i="1" s="1"/>
  <c r="L2340" i="1"/>
  <c r="BW2338" i="1"/>
  <c r="BJ2338" i="1"/>
  <c r="BD2338" i="1"/>
  <c r="AP2338" i="1"/>
  <c r="AO2338" i="1"/>
  <c r="AW2338" i="1" s="1"/>
  <c r="AK2338" i="1"/>
  <c r="AJ2338" i="1"/>
  <c r="AH2338" i="1"/>
  <c r="AG2338" i="1"/>
  <c r="AF2338" i="1"/>
  <c r="AC2338" i="1"/>
  <c r="AB2338" i="1"/>
  <c r="Z2338" i="1"/>
  <c r="O2338" i="1"/>
  <c r="BF2338" i="1" s="1"/>
  <c r="L2338" i="1"/>
  <c r="BW2336" i="1"/>
  <c r="BJ2336" i="1"/>
  <c r="BD2336" i="1"/>
  <c r="AP2336" i="1"/>
  <c r="AX2336" i="1" s="1"/>
  <c r="AO2336" i="1"/>
  <c r="AK2336" i="1"/>
  <c r="AJ2336" i="1"/>
  <c r="AH2336" i="1"/>
  <c r="AG2336" i="1"/>
  <c r="AF2336" i="1"/>
  <c r="AC2336" i="1"/>
  <c r="AB2336" i="1"/>
  <c r="Z2336" i="1"/>
  <c r="O2336" i="1"/>
  <c r="BF2336" i="1" s="1"/>
  <c r="L2336" i="1"/>
  <c r="BW2334" i="1"/>
  <c r="BJ2334" i="1"/>
  <c r="BD2334" i="1"/>
  <c r="AP2334" i="1"/>
  <c r="BI2334" i="1" s="1"/>
  <c r="AE2334" i="1" s="1"/>
  <c r="AO2334" i="1"/>
  <c r="J2334" i="1" s="1"/>
  <c r="AK2334" i="1"/>
  <c r="AJ2334" i="1"/>
  <c r="AH2334" i="1"/>
  <c r="AG2334" i="1"/>
  <c r="AF2334" i="1"/>
  <c r="AC2334" i="1"/>
  <c r="AB2334" i="1"/>
  <c r="Z2334" i="1"/>
  <c r="O2334" i="1"/>
  <c r="BF2334" i="1" s="1"/>
  <c r="L2334" i="1"/>
  <c r="BW2333" i="1"/>
  <c r="BJ2333" i="1"/>
  <c r="BD2333" i="1"/>
  <c r="AP2333" i="1"/>
  <c r="K2333" i="1" s="1"/>
  <c r="AO2333" i="1"/>
  <c r="J2333" i="1" s="1"/>
  <c r="AK2333" i="1"/>
  <c r="AJ2333" i="1"/>
  <c r="AH2333" i="1"/>
  <c r="AG2333" i="1"/>
  <c r="AF2333" i="1"/>
  <c r="AC2333" i="1"/>
  <c r="AB2333" i="1"/>
  <c r="Z2333" i="1"/>
  <c r="O2333" i="1"/>
  <c r="BF2333" i="1" s="1"/>
  <c r="L2333" i="1"/>
  <c r="BW2332" i="1"/>
  <c r="BJ2332" i="1"/>
  <c r="BD2332" i="1"/>
  <c r="AP2332" i="1"/>
  <c r="AX2332" i="1" s="1"/>
  <c r="AO2332" i="1"/>
  <c r="AW2332" i="1" s="1"/>
  <c r="AK2332" i="1"/>
  <c r="AJ2332" i="1"/>
  <c r="AH2332" i="1"/>
  <c r="AG2332" i="1"/>
  <c r="AF2332" i="1"/>
  <c r="AC2332" i="1"/>
  <c r="AB2332" i="1"/>
  <c r="Z2332" i="1"/>
  <c r="O2332" i="1"/>
  <c r="BF2332" i="1" s="1"/>
  <c r="L2332" i="1"/>
  <c r="BW2331" i="1"/>
  <c r="BJ2331" i="1"/>
  <c r="BD2331" i="1"/>
  <c r="AP2331" i="1"/>
  <c r="BI2331" i="1" s="1"/>
  <c r="AE2331" i="1" s="1"/>
  <c r="AO2331" i="1"/>
  <c r="AW2331" i="1" s="1"/>
  <c r="AK2331" i="1"/>
  <c r="AJ2331" i="1"/>
  <c r="AH2331" i="1"/>
  <c r="AG2331" i="1"/>
  <c r="AF2331" i="1"/>
  <c r="AC2331" i="1"/>
  <c r="AB2331" i="1"/>
  <c r="Z2331" i="1"/>
  <c r="O2331" i="1"/>
  <c r="BF2331" i="1" s="1"/>
  <c r="L2331" i="1"/>
  <c r="BW2330" i="1"/>
  <c r="BJ2330" i="1"/>
  <c r="BD2330" i="1"/>
  <c r="AP2330" i="1"/>
  <c r="AX2330" i="1" s="1"/>
  <c r="AO2330" i="1"/>
  <c r="AW2330" i="1" s="1"/>
  <c r="AK2330" i="1"/>
  <c r="AJ2330" i="1"/>
  <c r="AH2330" i="1"/>
  <c r="AG2330" i="1"/>
  <c r="AF2330" i="1"/>
  <c r="AC2330" i="1"/>
  <c r="AB2330" i="1"/>
  <c r="Z2330" i="1"/>
  <c r="O2330" i="1"/>
  <c r="BF2330" i="1" s="1"/>
  <c r="L2330" i="1"/>
  <c r="BW2328" i="1"/>
  <c r="BJ2328" i="1"/>
  <c r="BD2328" i="1"/>
  <c r="AP2328" i="1"/>
  <c r="AX2328" i="1" s="1"/>
  <c r="AO2328" i="1"/>
  <c r="AW2328" i="1" s="1"/>
  <c r="AK2328" i="1"/>
  <c r="AJ2328" i="1"/>
  <c r="AH2328" i="1"/>
  <c r="AG2328" i="1"/>
  <c r="AF2328" i="1"/>
  <c r="AC2328" i="1"/>
  <c r="AB2328" i="1"/>
  <c r="Z2328" i="1"/>
  <c r="O2328" i="1"/>
  <c r="BF2328" i="1" s="1"/>
  <c r="L2328" i="1"/>
  <c r="BW2326" i="1"/>
  <c r="BJ2326" i="1"/>
  <c r="BD2326" i="1"/>
  <c r="AP2326" i="1"/>
  <c r="AX2326" i="1" s="1"/>
  <c r="AO2326" i="1"/>
  <c r="AW2326" i="1" s="1"/>
  <c r="AK2326" i="1"/>
  <c r="AJ2326" i="1"/>
  <c r="AH2326" i="1"/>
  <c r="AG2326" i="1"/>
  <c r="AF2326" i="1"/>
  <c r="AC2326" i="1"/>
  <c r="AB2326" i="1"/>
  <c r="Z2326" i="1"/>
  <c r="O2326" i="1"/>
  <c r="BF2326" i="1" s="1"/>
  <c r="L2326" i="1"/>
  <c r="AL2326" i="1" s="1"/>
  <c r="BW2324" i="1"/>
  <c r="BJ2324" i="1"/>
  <c r="BD2324" i="1"/>
  <c r="AP2324" i="1"/>
  <c r="AX2324" i="1" s="1"/>
  <c r="AO2324" i="1"/>
  <c r="AW2324" i="1" s="1"/>
  <c r="AK2324" i="1"/>
  <c r="AJ2324" i="1"/>
  <c r="AH2324" i="1"/>
  <c r="AG2324" i="1"/>
  <c r="AF2324" i="1"/>
  <c r="AC2324" i="1"/>
  <c r="AB2324" i="1"/>
  <c r="Z2324" i="1"/>
  <c r="O2324" i="1"/>
  <c r="BF2324" i="1" s="1"/>
  <c r="L2324" i="1"/>
  <c r="BW2322" i="1"/>
  <c r="BJ2322" i="1"/>
  <c r="BD2322" i="1"/>
  <c r="AP2322" i="1"/>
  <c r="AX2322" i="1" s="1"/>
  <c r="AO2322" i="1"/>
  <c r="AW2322" i="1" s="1"/>
  <c r="AK2322" i="1"/>
  <c r="AJ2322" i="1"/>
  <c r="AH2322" i="1"/>
  <c r="AG2322" i="1"/>
  <c r="AF2322" i="1"/>
  <c r="AC2322" i="1"/>
  <c r="AB2322" i="1"/>
  <c r="Z2322" i="1"/>
  <c r="O2322" i="1"/>
  <c r="BF2322" i="1" s="1"/>
  <c r="L2322" i="1"/>
  <c r="AL2322" i="1" s="1"/>
  <c r="BW2320" i="1"/>
  <c r="BJ2320" i="1"/>
  <c r="BD2320" i="1"/>
  <c r="AP2320" i="1"/>
  <c r="BI2320" i="1" s="1"/>
  <c r="AE2320" i="1" s="1"/>
  <c r="AO2320" i="1"/>
  <c r="AW2320" i="1" s="1"/>
  <c r="AK2320" i="1"/>
  <c r="AJ2320" i="1"/>
  <c r="AH2320" i="1"/>
  <c r="AG2320" i="1"/>
  <c r="AF2320" i="1"/>
  <c r="AC2320" i="1"/>
  <c r="AB2320" i="1"/>
  <c r="Z2320" i="1"/>
  <c r="O2320" i="1"/>
  <c r="BF2320" i="1" s="1"/>
  <c r="L2320" i="1"/>
  <c r="BW2319" i="1"/>
  <c r="BJ2319" i="1"/>
  <c r="BD2319" i="1"/>
  <c r="AP2319" i="1"/>
  <c r="AX2319" i="1" s="1"/>
  <c r="AO2319" i="1"/>
  <c r="BH2319" i="1" s="1"/>
  <c r="AD2319" i="1" s="1"/>
  <c r="AK2319" i="1"/>
  <c r="AJ2319" i="1"/>
  <c r="AH2319" i="1"/>
  <c r="AG2319" i="1"/>
  <c r="AF2319" i="1"/>
  <c r="AC2319" i="1"/>
  <c r="AB2319" i="1"/>
  <c r="Z2319" i="1"/>
  <c r="O2319" i="1"/>
  <c r="BF2319" i="1" s="1"/>
  <c r="L2319" i="1"/>
  <c r="AL2319" i="1" s="1"/>
  <c r="BW2318" i="1"/>
  <c r="BJ2318" i="1"/>
  <c r="BD2318" i="1"/>
  <c r="AP2318" i="1"/>
  <c r="AX2318" i="1" s="1"/>
  <c r="AO2318" i="1"/>
  <c r="AK2318" i="1"/>
  <c r="AJ2318" i="1"/>
  <c r="AH2318" i="1"/>
  <c r="AG2318" i="1"/>
  <c r="AF2318" i="1"/>
  <c r="AC2318" i="1"/>
  <c r="AB2318" i="1"/>
  <c r="Z2318" i="1"/>
  <c r="O2318" i="1"/>
  <c r="BF2318" i="1" s="1"/>
  <c r="L2318" i="1"/>
  <c r="AL2318" i="1" s="1"/>
  <c r="BW2317" i="1"/>
  <c r="BJ2317" i="1"/>
  <c r="BD2317" i="1"/>
  <c r="AP2317" i="1"/>
  <c r="BI2317" i="1" s="1"/>
  <c r="AE2317" i="1" s="1"/>
  <c r="AO2317" i="1"/>
  <c r="AK2317" i="1"/>
  <c r="AJ2317" i="1"/>
  <c r="AH2317" i="1"/>
  <c r="AG2317" i="1"/>
  <c r="AF2317" i="1"/>
  <c r="AC2317" i="1"/>
  <c r="AB2317" i="1"/>
  <c r="Z2317" i="1"/>
  <c r="O2317" i="1"/>
  <c r="BF2317" i="1" s="1"/>
  <c r="L2317" i="1"/>
  <c r="BW2315" i="1"/>
  <c r="BJ2315" i="1"/>
  <c r="BD2315" i="1"/>
  <c r="AP2315" i="1"/>
  <c r="AO2315" i="1"/>
  <c r="AK2315" i="1"/>
  <c r="AJ2315" i="1"/>
  <c r="AH2315" i="1"/>
  <c r="AG2315" i="1"/>
  <c r="AF2315" i="1"/>
  <c r="AC2315" i="1"/>
  <c r="AB2315" i="1"/>
  <c r="Z2315" i="1"/>
  <c r="O2315" i="1"/>
  <c r="BF2315" i="1" s="1"/>
  <c r="L2315" i="1"/>
  <c r="AL2315" i="1" s="1"/>
  <c r="BW2314" i="1"/>
  <c r="BJ2314" i="1"/>
  <c r="BD2314" i="1"/>
  <c r="AP2314" i="1"/>
  <c r="BI2314" i="1" s="1"/>
  <c r="AE2314" i="1" s="1"/>
  <c r="AO2314" i="1"/>
  <c r="AW2314" i="1" s="1"/>
  <c r="AK2314" i="1"/>
  <c r="AJ2314" i="1"/>
  <c r="AH2314" i="1"/>
  <c r="AG2314" i="1"/>
  <c r="AF2314" i="1"/>
  <c r="AC2314" i="1"/>
  <c r="AB2314" i="1"/>
  <c r="Z2314" i="1"/>
  <c r="O2314" i="1"/>
  <c r="BF2314" i="1" s="1"/>
  <c r="L2314" i="1"/>
  <c r="AL2314" i="1" s="1"/>
  <c r="BW2311" i="1"/>
  <c r="BJ2311" i="1"/>
  <c r="BD2311" i="1"/>
  <c r="AP2311" i="1"/>
  <c r="BI2311" i="1" s="1"/>
  <c r="AE2311" i="1" s="1"/>
  <c r="AO2311" i="1"/>
  <c r="AW2311" i="1" s="1"/>
  <c r="AK2311" i="1"/>
  <c r="AJ2311" i="1"/>
  <c r="AH2311" i="1"/>
  <c r="AG2311" i="1"/>
  <c r="AF2311" i="1"/>
  <c r="AC2311" i="1"/>
  <c r="AB2311" i="1"/>
  <c r="Z2311" i="1"/>
  <c r="O2311" i="1"/>
  <c r="BF2311" i="1" s="1"/>
  <c r="L2311" i="1"/>
  <c r="AL2311" i="1" s="1"/>
  <c r="BW2309" i="1"/>
  <c r="BJ2309" i="1"/>
  <c r="BD2309" i="1"/>
  <c r="AP2309" i="1"/>
  <c r="AX2309" i="1" s="1"/>
  <c r="AO2309" i="1"/>
  <c r="AW2309" i="1" s="1"/>
  <c r="AK2309" i="1"/>
  <c r="AJ2309" i="1"/>
  <c r="AH2309" i="1"/>
  <c r="AG2309" i="1"/>
  <c r="AF2309" i="1"/>
  <c r="AC2309" i="1"/>
  <c r="AB2309" i="1"/>
  <c r="Z2309" i="1"/>
  <c r="O2309" i="1"/>
  <c r="BF2309" i="1" s="1"/>
  <c r="L2309" i="1"/>
  <c r="AL2309" i="1" s="1"/>
  <c r="BW2306" i="1"/>
  <c r="BJ2306" i="1"/>
  <c r="BD2306" i="1"/>
  <c r="AP2306" i="1"/>
  <c r="AX2306" i="1" s="1"/>
  <c r="AO2306" i="1"/>
  <c r="AW2306" i="1" s="1"/>
  <c r="AK2306" i="1"/>
  <c r="AJ2306" i="1"/>
  <c r="AH2306" i="1"/>
  <c r="AG2306" i="1"/>
  <c r="AF2306" i="1"/>
  <c r="AC2306" i="1"/>
  <c r="AB2306" i="1"/>
  <c r="Z2306" i="1"/>
  <c r="O2306" i="1"/>
  <c r="BF2306" i="1" s="1"/>
  <c r="L2306" i="1"/>
  <c r="AL2306" i="1" s="1"/>
  <c r="BW2304" i="1"/>
  <c r="BJ2304" i="1"/>
  <c r="BD2304" i="1"/>
  <c r="AP2304" i="1"/>
  <c r="K2304" i="1" s="1"/>
  <c r="AO2304" i="1"/>
  <c r="AW2304" i="1" s="1"/>
  <c r="AK2304" i="1"/>
  <c r="AJ2304" i="1"/>
  <c r="AH2304" i="1"/>
  <c r="AG2304" i="1"/>
  <c r="AF2304" i="1"/>
  <c r="AC2304" i="1"/>
  <c r="AB2304" i="1"/>
  <c r="Z2304" i="1"/>
  <c r="O2304" i="1"/>
  <c r="BF2304" i="1" s="1"/>
  <c r="L2304" i="1"/>
  <c r="BW2303" i="1"/>
  <c r="BJ2303" i="1"/>
  <c r="BD2303" i="1"/>
  <c r="AP2303" i="1"/>
  <c r="AX2303" i="1" s="1"/>
  <c r="AO2303" i="1"/>
  <c r="BH2303" i="1" s="1"/>
  <c r="AD2303" i="1" s="1"/>
  <c r="AK2303" i="1"/>
  <c r="AJ2303" i="1"/>
  <c r="AH2303" i="1"/>
  <c r="AG2303" i="1"/>
  <c r="AF2303" i="1"/>
  <c r="AC2303" i="1"/>
  <c r="AB2303" i="1"/>
  <c r="Z2303" i="1"/>
  <c r="O2303" i="1"/>
  <c r="BF2303" i="1" s="1"/>
  <c r="L2303" i="1"/>
  <c r="AL2303" i="1" s="1"/>
  <c r="BW2302" i="1"/>
  <c r="BJ2302" i="1"/>
  <c r="BD2302" i="1"/>
  <c r="AP2302" i="1"/>
  <c r="AX2302" i="1" s="1"/>
  <c r="AO2302" i="1"/>
  <c r="AK2302" i="1"/>
  <c r="AJ2302" i="1"/>
  <c r="AH2302" i="1"/>
  <c r="AG2302" i="1"/>
  <c r="AF2302" i="1"/>
  <c r="AC2302" i="1"/>
  <c r="AB2302" i="1"/>
  <c r="Z2302" i="1"/>
  <c r="O2302" i="1"/>
  <c r="BF2302" i="1" s="1"/>
  <c r="L2302" i="1"/>
  <c r="AL2302" i="1" s="1"/>
  <c r="BW2301" i="1"/>
  <c r="BJ2301" i="1"/>
  <c r="BD2301" i="1"/>
  <c r="AP2301" i="1"/>
  <c r="BI2301" i="1" s="1"/>
  <c r="AE2301" i="1" s="1"/>
  <c r="AO2301" i="1"/>
  <c r="AK2301" i="1"/>
  <c r="AJ2301" i="1"/>
  <c r="AH2301" i="1"/>
  <c r="AG2301" i="1"/>
  <c r="AF2301" i="1"/>
  <c r="AC2301" i="1"/>
  <c r="AB2301" i="1"/>
  <c r="Z2301" i="1"/>
  <c r="O2301" i="1"/>
  <c r="BF2301" i="1" s="1"/>
  <c r="L2301" i="1"/>
  <c r="AL2301" i="1" s="1"/>
  <c r="BW2295" i="1"/>
  <c r="BJ2295" i="1"/>
  <c r="BD2295" i="1"/>
  <c r="AP2295" i="1"/>
  <c r="AO2295" i="1"/>
  <c r="AK2295" i="1"/>
  <c r="AJ2295" i="1"/>
  <c r="AH2295" i="1"/>
  <c r="AG2295" i="1"/>
  <c r="AF2295" i="1"/>
  <c r="AC2295" i="1"/>
  <c r="AB2295" i="1"/>
  <c r="Z2295" i="1"/>
  <c r="O2295" i="1"/>
  <c r="BF2295" i="1" s="1"/>
  <c r="L2295" i="1"/>
  <c r="AL2295" i="1" s="1"/>
  <c r="BW2292" i="1"/>
  <c r="BJ2292" i="1"/>
  <c r="BD2292" i="1"/>
  <c r="AP2292" i="1"/>
  <c r="BI2292" i="1" s="1"/>
  <c r="AE2292" i="1" s="1"/>
  <c r="AO2292" i="1"/>
  <c r="AK2292" i="1"/>
  <c r="AJ2292" i="1"/>
  <c r="AH2292" i="1"/>
  <c r="AG2292" i="1"/>
  <c r="AF2292" i="1"/>
  <c r="AC2292" i="1"/>
  <c r="AB2292" i="1"/>
  <c r="Z2292" i="1"/>
  <c r="O2292" i="1"/>
  <c r="BF2292" i="1" s="1"/>
  <c r="L2292" i="1"/>
  <c r="AL2292" i="1" s="1"/>
  <c r="BW2290" i="1"/>
  <c r="BJ2290" i="1"/>
  <c r="BD2290" i="1"/>
  <c r="AP2290" i="1"/>
  <c r="BI2290" i="1" s="1"/>
  <c r="AE2290" i="1" s="1"/>
  <c r="AO2290" i="1"/>
  <c r="AW2290" i="1" s="1"/>
  <c r="AK2290" i="1"/>
  <c r="AJ2290" i="1"/>
  <c r="AH2290" i="1"/>
  <c r="AG2290" i="1"/>
  <c r="AF2290" i="1"/>
  <c r="AC2290" i="1"/>
  <c r="AB2290" i="1"/>
  <c r="Z2290" i="1"/>
  <c r="O2290" i="1"/>
  <c r="BF2290" i="1" s="1"/>
  <c r="L2290" i="1"/>
  <c r="AL2290" i="1" s="1"/>
  <c r="BW2288" i="1"/>
  <c r="BJ2288" i="1"/>
  <c r="BD2288" i="1"/>
  <c r="AP2288" i="1"/>
  <c r="AX2288" i="1" s="1"/>
  <c r="AO2288" i="1"/>
  <c r="AW2288" i="1" s="1"/>
  <c r="AK2288" i="1"/>
  <c r="AJ2288" i="1"/>
  <c r="AH2288" i="1"/>
  <c r="AG2288" i="1"/>
  <c r="AF2288" i="1"/>
  <c r="AC2288" i="1"/>
  <c r="AB2288" i="1"/>
  <c r="Z2288" i="1"/>
  <c r="O2288" i="1"/>
  <c r="BF2288" i="1" s="1"/>
  <c r="L2288" i="1"/>
  <c r="AL2288" i="1" s="1"/>
  <c r="BW2286" i="1"/>
  <c r="BJ2286" i="1"/>
  <c r="BD2286" i="1"/>
  <c r="AP2286" i="1"/>
  <c r="BI2286" i="1" s="1"/>
  <c r="AE2286" i="1" s="1"/>
  <c r="AO2286" i="1"/>
  <c r="AW2286" i="1" s="1"/>
  <c r="AK2286" i="1"/>
  <c r="AJ2286" i="1"/>
  <c r="AH2286" i="1"/>
  <c r="AG2286" i="1"/>
  <c r="AF2286" i="1"/>
  <c r="AC2286" i="1"/>
  <c r="AB2286" i="1"/>
  <c r="Z2286" i="1"/>
  <c r="O2286" i="1"/>
  <c r="BF2286" i="1" s="1"/>
  <c r="L2286" i="1"/>
  <c r="AL2286" i="1" s="1"/>
  <c r="K2286" i="1"/>
  <c r="BW2285" i="1"/>
  <c r="BJ2285" i="1"/>
  <c r="BD2285" i="1"/>
  <c r="AP2285" i="1"/>
  <c r="BI2285" i="1" s="1"/>
  <c r="AE2285" i="1" s="1"/>
  <c r="AO2285" i="1"/>
  <c r="AW2285" i="1" s="1"/>
  <c r="AK2285" i="1"/>
  <c r="AJ2285" i="1"/>
  <c r="AH2285" i="1"/>
  <c r="AG2285" i="1"/>
  <c r="AF2285" i="1"/>
  <c r="AC2285" i="1"/>
  <c r="AB2285" i="1"/>
  <c r="Z2285" i="1"/>
  <c r="O2285" i="1"/>
  <c r="BF2285" i="1" s="1"/>
  <c r="L2285" i="1"/>
  <c r="BW2280" i="1"/>
  <c r="BJ2280" i="1"/>
  <c r="BD2280" i="1"/>
  <c r="AP2280" i="1"/>
  <c r="AX2280" i="1" s="1"/>
  <c r="AO2280" i="1"/>
  <c r="AK2280" i="1"/>
  <c r="AJ2280" i="1"/>
  <c r="AH2280" i="1"/>
  <c r="AG2280" i="1"/>
  <c r="AF2280" i="1"/>
  <c r="AC2280" i="1"/>
  <c r="AB2280" i="1"/>
  <c r="Z2280" i="1"/>
  <c r="O2280" i="1"/>
  <c r="L2280" i="1"/>
  <c r="AL2280" i="1" s="1"/>
  <c r="BW2271" i="1"/>
  <c r="BJ2271" i="1"/>
  <c r="BD2271" i="1"/>
  <c r="AP2271" i="1"/>
  <c r="K2271" i="1" s="1"/>
  <c r="AO2271" i="1"/>
  <c r="AK2271" i="1"/>
  <c r="AJ2271" i="1"/>
  <c r="AH2271" i="1"/>
  <c r="AG2271" i="1"/>
  <c r="AF2271" i="1"/>
  <c r="AC2271" i="1"/>
  <c r="AB2271" i="1"/>
  <c r="Z2271" i="1"/>
  <c r="O2271" i="1"/>
  <c r="BF2271" i="1" s="1"/>
  <c r="L2271" i="1"/>
  <c r="AL2271" i="1" s="1"/>
  <c r="BW2268" i="1"/>
  <c r="BJ2268" i="1"/>
  <c r="BD2268" i="1"/>
  <c r="AP2268" i="1"/>
  <c r="AX2268" i="1" s="1"/>
  <c r="AO2268" i="1"/>
  <c r="AK2268" i="1"/>
  <c r="AJ2268" i="1"/>
  <c r="AH2268" i="1"/>
  <c r="AG2268" i="1"/>
  <c r="AF2268" i="1"/>
  <c r="AC2268" i="1"/>
  <c r="AB2268" i="1"/>
  <c r="Z2268" i="1"/>
  <c r="O2268" i="1"/>
  <c r="BF2268" i="1" s="1"/>
  <c r="L2268" i="1"/>
  <c r="AL2268" i="1" s="1"/>
  <c r="BW2266" i="1"/>
  <c r="BJ2266" i="1"/>
  <c r="BD2266" i="1"/>
  <c r="AP2266" i="1"/>
  <c r="AO2266" i="1"/>
  <c r="AK2266" i="1"/>
  <c r="AJ2266" i="1"/>
  <c r="AH2266" i="1"/>
  <c r="AG2266" i="1"/>
  <c r="AF2266" i="1"/>
  <c r="AC2266" i="1"/>
  <c r="AB2266" i="1"/>
  <c r="Z2266" i="1"/>
  <c r="O2266" i="1"/>
  <c r="BF2266" i="1" s="1"/>
  <c r="L2266" i="1"/>
  <c r="AL2266" i="1" s="1"/>
  <c r="BW2264" i="1"/>
  <c r="BJ2264" i="1"/>
  <c r="BD2264" i="1"/>
  <c r="AP2264" i="1"/>
  <c r="BI2264" i="1" s="1"/>
  <c r="AE2264" i="1" s="1"/>
  <c r="AO2264" i="1"/>
  <c r="AW2264" i="1" s="1"/>
  <c r="AK2264" i="1"/>
  <c r="AJ2264" i="1"/>
  <c r="AH2264" i="1"/>
  <c r="AG2264" i="1"/>
  <c r="AF2264" i="1"/>
  <c r="AC2264" i="1"/>
  <c r="AB2264" i="1"/>
  <c r="Z2264" i="1"/>
  <c r="O2264" i="1"/>
  <c r="BF2264" i="1" s="1"/>
  <c r="L2264" i="1"/>
  <c r="BW2262" i="1"/>
  <c r="BJ2262" i="1"/>
  <c r="BD2262" i="1"/>
  <c r="AP2262" i="1"/>
  <c r="BI2262" i="1" s="1"/>
  <c r="AE2262" i="1" s="1"/>
  <c r="AO2262" i="1"/>
  <c r="AW2262" i="1" s="1"/>
  <c r="AK2262" i="1"/>
  <c r="AJ2262" i="1"/>
  <c r="AH2262" i="1"/>
  <c r="AG2262" i="1"/>
  <c r="AF2262" i="1"/>
  <c r="AC2262" i="1"/>
  <c r="AB2262" i="1"/>
  <c r="Z2262" i="1"/>
  <c r="O2262" i="1"/>
  <c r="BF2262" i="1" s="1"/>
  <c r="L2262" i="1"/>
  <c r="BW2260" i="1"/>
  <c r="BJ2260" i="1"/>
  <c r="BD2260" i="1"/>
  <c r="AP2260" i="1"/>
  <c r="AX2260" i="1" s="1"/>
  <c r="AO2260" i="1"/>
  <c r="AK2260" i="1"/>
  <c r="AJ2260" i="1"/>
  <c r="AH2260" i="1"/>
  <c r="AG2260" i="1"/>
  <c r="AF2260" i="1"/>
  <c r="AC2260" i="1"/>
  <c r="AB2260" i="1"/>
  <c r="Z2260" i="1"/>
  <c r="O2260" i="1"/>
  <c r="BF2260" i="1" s="1"/>
  <c r="L2260" i="1"/>
  <c r="BW2259" i="1"/>
  <c r="BJ2259" i="1"/>
  <c r="BD2259" i="1"/>
  <c r="AP2259" i="1"/>
  <c r="BI2259" i="1" s="1"/>
  <c r="AE2259" i="1" s="1"/>
  <c r="AO2259" i="1"/>
  <c r="AW2259" i="1" s="1"/>
  <c r="AK2259" i="1"/>
  <c r="AJ2259" i="1"/>
  <c r="AH2259" i="1"/>
  <c r="AG2259" i="1"/>
  <c r="AF2259" i="1"/>
  <c r="AC2259" i="1"/>
  <c r="AB2259" i="1"/>
  <c r="Z2259" i="1"/>
  <c r="O2259" i="1"/>
  <c r="BF2259" i="1" s="1"/>
  <c r="L2259" i="1"/>
  <c r="BW2258" i="1"/>
  <c r="BJ2258" i="1"/>
  <c r="BD2258" i="1"/>
  <c r="AP2258" i="1"/>
  <c r="BI2258" i="1" s="1"/>
  <c r="AE2258" i="1" s="1"/>
  <c r="AO2258" i="1"/>
  <c r="AW2258" i="1" s="1"/>
  <c r="AK2258" i="1"/>
  <c r="AJ2258" i="1"/>
  <c r="AH2258" i="1"/>
  <c r="AG2258" i="1"/>
  <c r="AF2258" i="1"/>
  <c r="AC2258" i="1"/>
  <c r="AB2258" i="1"/>
  <c r="Z2258" i="1"/>
  <c r="O2258" i="1"/>
  <c r="BF2258" i="1" s="1"/>
  <c r="L2258" i="1"/>
  <c r="BW2257" i="1"/>
  <c r="BJ2257" i="1"/>
  <c r="BD2257" i="1"/>
  <c r="AP2257" i="1"/>
  <c r="AX2257" i="1" s="1"/>
  <c r="AO2257" i="1"/>
  <c r="BH2257" i="1" s="1"/>
  <c r="AD2257" i="1" s="1"/>
  <c r="AK2257" i="1"/>
  <c r="AJ2257" i="1"/>
  <c r="AH2257" i="1"/>
  <c r="AG2257" i="1"/>
  <c r="AF2257" i="1"/>
  <c r="AC2257" i="1"/>
  <c r="AB2257" i="1"/>
  <c r="Z2257" i="1"/>
  <c r="O2257" i="1"/>
  <c r="BF2257" i="1" s="1"/>
  <c r="L2257" i="1"/>
  <c r="BW2256" i="1"/>
  <c r="BJ2256" i="1"/>
  <c r="BD2256" i="1"/>
  <c r="AP2256" i="1"/>
  <c r="BI2256" i="1" s="1"/>
  <c r="AE2256" i="1" s="1"/>
  <c r="AO2256" i="1"/>
  <c r="AW2256" i="1" s="1"/>
  <c r="AK2256" i="1"/>
  <c r="AJ2256" i="1"/>
  <c r="AH2256" i="1"/>
  <c r="AG2256" i="1"/>
  <c r="AF2256" i="1"/>
  <c r="AC2256" i="1"/>
  <c r="AB2256" i="1"/>
  <c r="Z2256" i="1"/>
  <c r="O2256" i="1"/>
  <c r="BF2256" i="1" s="1"/>
  <c r="L2256" i="1"/>
  <c r="BW2254" i="1"/>
  <c r="BJ2254" i="1"/>
  <c r="BD2254" i="1"/>
  <c r="AP2254" i="1"/>
  <c r="BI2254" i="1" s="1"/>
  <c r="AE2254" i="1" s="1"/>
  <c r="AO2254" i="1"/>
  <c r="AW2254" i="1" s="1"/>
  <c r="AK2254" i="1"/>
  <c r="AJ2254" i="1"/>
  <c r="AH2254" i="1"/>
  <c r="AG2254" i="1"/>
  <c r="AF2254" i="1"/>
  <c r="AC2254" i="1"/>
  <c r="AB2254" i="1"/>
  <c r="Z2254" i="1"/>
  <c r="O2254" i="1"/>
  <c r="BF2254" i="1" s="1"/>
  <c r="L2254" i="1"/>
  <c r="K2254" i="1"/>
  <c r="J2254" i="1"/>
  <c r="BW2249" i="1"/>
  <c r="BJ2249" i="1"/>
  <c r="BD2249" i="1"/>
  <c r="AP2249" i="1"/>
  <c r="AX2249" i="1" s="1"/>
  <c r="AO2249" i="1"/>
  <c r="BH2249" i="1" s="1"/>
  <c r="AD2249" i="1" s="1"/>
  <c r="AK2249" i="1"/>
  <c r="AJ2249" i="1"/>
  <c r="AH2249" i="1"/>
  <c r="AG2249" i="1"/>
  <c r="AF2249" i="1"/>
  <c r="AC2249" i="1"/>
  <c r="AB2249" i="1"/>
  <c r="Z2249" i="1"/>
  <c r="O2249" i="1"/>
  <c r="BF2249" i="1" s="1"/>
  <c r="L2249" i="1"/>
  <c r="BW2247" i="1"/>
  <c r="BJ2247" i="1"/>
  <c r="BD2247" i="1"/>
  <c r="AP2247" i="1"/>
  <c r="AX2247" i="1" s="1"/>
  <c r="AO2247" i="1"/>
  <c r="AW2247" i="1" s="1"/>
  <c r="AK2247" i="1"/>
  <c r="AJ2247" i="1"/>
  <c r="AH2247" i="1"/>
  <c r="AG2247" i="1"/>
  <c r="AF2247" i="1"/>
  <c r="AC2247" i="1"/>
  <c r="AB2247" i="1"/>
  <c r="Z2247" i="1"/>
  <c r="O2247" i="1"/>
  <c r="BF2247" i="1" s="1"/>
  <c r="L2247" i="1"/>
  <c r="BW2242" i="1"/>
  <c r="BJ2242" i="1"/>
  <c r="BD2242" i="1"/>
  <c r="AP2242" i="1"/>
  <c r="BI2242" i="1" s="1"/>
  <c r="AE2242" i="1" s="1"/>
  <c r="AO2242" i="1"/>
  <c r="AW2242" i="1" s="1"/>
  <c r="AK2242" i="1"/>
  <c r="AJ2242" i="1"/>
  <c r="AH2242" i="1"/>
  <c r="AG2242" i="1"/>
  <c r="AF2242" i="1"/>
  <c r="AC2242" i="1"/>
  <c r="AB2242" i="1"/>
  <c r="Z2242" i="1"/>
  <c r="O2242" i="1"/>
  <c r="BF2242" i="1" s="1"/>
  <c r="L2242" i="1"/>
  <c r="AL2242" i="1" s="1"/>
  <c r="BW2240" i="1"/>
  <c r="BJ2240" i="1"/>
  <c r="BD2240" i="1"/>
  <c r="AP2240" i="1"/>
  <c r="AX2240" i="1" s="1"/>
  <c r="AO2240" i="1"/>
  <c r="BH2240" i="1" s="1"/>
  <c r="AD2240" i="1" s="1"/>
  <c r="AK2240" i="1"/>
  <c r="AJ2240" i="1"/>
  <c r="AH2240" i="1"/>
  <c r="AG2240" i="1"/>
  <c r="AF2240" i="1"/>
  <c r="AC2240" i="1"/>
  <c r="AB2240" i="1"/>
  <c r="Z2240" i="1"/>
  <c r="O2240" i="1"/>
  <c r="BF2240" i="1" s="1"/>
  <c r="L2240" i="1"/>
  <c r="BW2238" i="1"/>
  <c r="BJ2238" i="1"/>
  <c r="Z2238" i="1" s="1"/>
  <c r="BD2238" i="1"/>
  <c r="AP2238" i="1"/>
  <c r="AX2238" i="1" s="1"/>
  <c r="AO2238" i="1"/>
  <c r="J2238" i="1" s="1"/>
  <c r="AK2238" i="1"/>
  <c r="AJ2238" i="1"/>
  <c r="AH2238" i="1"/>
  <c r="AG2238" i="1"/>
  <c r="AF2238" i="1"/>
  <c r="AE2238" i="1"/>
  <c r="AD2238" i="1"/>
  <c r="AC2238" i="1"/>
  <c r="AB2238" i="1"/>
  <c r="O2238" i="1"/>
  <c r="BF2238" i="1" s="1"/>
  <c r="L2238" i="1"/>
  <c r="BW2237" i="1"/>
  <c r="BJ2237" i="1"/>
  <c r="BD2237" i="1"/>
  <c r="AP2237" i="1"/>
  <c r="AX2237" i="1" s="1"/>
  <c r="AO2237" i="1"/>
  <c r="AK2237" i="1"/>
  <c r="AJ2237" i="1"/>
  <c r="AH2237" i="1"/>
  <c r="AG2237" i="1"/>
  <c r="AF2237" i="1"/>
  <c r="AC2237" i="1"/>
  <c r="AB2237" i="1"/>
  <c r="Z2237" i="1"/>
  <c r="O2237" i="1"/>
  <c r="BF2237" i="1" s="1"/>
  <c r="L2237" i="1"/>
  <c r="BW2236" i="1"/>
  <c r="BJ2236" i="1"/>
  <c r="BD2236" i="1"/>
  <c r="AP2236" i="1"/>
  <c r="AO2236" i="1"/>
  <c r="AW2236" i="1" s="1"/>
  <c r="AK2236" i="1"/>
  <c r="AJ2236" i="1"/>
  <c r="AH2236" i="1"/>
  <c r="AG2236" i="1"/>
  <c r="AF2236" i="1"/>
  <c r="AC2236" i="1"/>
  <c r="AB2236" i="1"/>
  <c r="Z2236" i="1"/>
  <c r="O2236" i="1"/>
  <c r="L2236" i="1"/>
  <c r="BW2234" i="1"/>
  <c r="BJ2234" i="1"/>
  <c r="Z2234" i="1" s="1"/>
  <c r="BD2234" i="1"/>
  <c r="AP2234" i="1"/>
  <c r="AX2234" i="1" s="1"/>
  <c r="AO2234" i="1"/>
  <c r="AW2234" i="1" s="1"/>
  <c r="AK2234" i="1"/>
  <c r="AJ2234" i="1"/>
  <c r="AH2234" i="1"/>
  <c r="AG2234" i="1"/>
  <c r="AF2234" i="1"/>
  <c r="AE2234" i="1"/>
  <c r="AD2234" i="1"/>
  <c r="AC2234" i="1"/>
  <c r="AB2234" i="1"/>
  <c r="O2234" i="1"/>
  <c r="BF2234" i="1" s="1"/>
  <c r="L2234" i="1"/>
  <c r="AL2234" i="1" s="1"/>
  <c r="BW2231" i="1"/>
  <c r="BJ2231" i="1"/>
  <c r="BD2231" i="1"/>
  <c r="AP2231" i="1"/>
  <c r="AX2231" i="1" s="1"/>
  <c r="AO2231" i="1"/>
  <c r="BH2231" i="1" s="1"/>
  <c r="AD2231" i="1" s="1"/>
  <c r="AK2231" i="1"/>
  <c r="AJ2231" i="1"/>
  <c r="AH2231" i="1"/>
  <c r="AG2231" i="1"/>
  <c r="AF2231" i="1"/>
  <c r="AC2231" i="1"/>
  <c r="AB2231" i="1"/>
  <c r="Z2231" i="1"/>
  <c r="O2231" i="1"/>
  <c r="BF2231" i="1" s="1"/>
  <c r="L2231" i="1"/>
  <c r="BW2229" i="1"/>
  <c r="BJ2229" i="1"/>
  <c r="Z2229" i="1" s="1"/>
  <c r="BD2229" i="1"/>
  <c r="AP2229" i="1"/>
  <c r="AX2229" i="1" s="1"/>
  <c r="AO2229" i="1"/>
  <c r="J2229" i="1" s="1"/>
  <c r="AK2229" i="1"/>
  <c r="AJ2229" i="1"/>
  <c r="AH2229" i="1"/>
  <c r="AG2229" i="1"/>
  <c r="AF2229" i="1"/>
  <c r="AE2229" i="1"/>
  <c r="AD2229" i="1"/>
  <c r="AC2229" i="1"/>
  <c r="AB2229" i="1"/>
  <c r="O2229" i="1"/>
  <c r="BF2229" i="1" s="1"/>
  <c r="L2229" i="1"/>
  <c r="BW2228" i="1"/>
  <c r="BJ2228" i="1"/>
  <c r="BD2228" i="1"/>
  <c r="AP2228" i="1"/>
  <c r="AX2228" i="1" s="1"/>
  <c r="AO2228" i="1"/>
  <c r="J2228" i="1" s="1"/>
  <c r="AK2228" i="1"/>
  <c r="AJ2228" i="1"/>
  <c r="AH2228" i="1"/>
  <c r="AG2228" i="1"/>
  <c r="AF2228" i="1"/>
  <c r="AC2228" i="1"/>
  <c r="AB2228" i="1"/>
  <c r="Z2228" i="1"/>
  <c r="O2228" i="1"/>
  <c r="BF2228" i="1" s="1"/>
  <c r="L2228" i="1"/>
  <c r="BW2227" i="1"/>
  <c r="BJ2227" i="1"/>
  <c r="BD2227" i="1"/>
  <c r="AP2227" i="1"/>
  <c r="AO2227" i="1"/>
  <c r="AW2227" i="1" s="1"/>
  <c r="AK2227" i="1"/>
  <c r="AJ2227" i="1"/>
  <c r="AH2227" i="1"/>
  <c r="AG2227" i="1"/>
  <c r="AF2227" i="1"/>
  <c r="AC2227" i="1"/>
  <c r="AB2227" i="1"/>
  <c r="Z2227" i="1"/>
  <c r="O2227" i="1"/>
  <c r="L2227" i="1"/>
  <c r="BW2223" i="1"/>
  <c r="BJ2223" i="1"/>
  <c r="BD2223" i="1"/>
  <c r="AP2223" i="1"/>
  <c r="K2223" i="1" s="1"/>
  <c r="AO2223" i="1"/>
  <c r="AW2223" i="1" s="1"/>
  <c r="AK2223" i="1"/>
  <c r="AJ2223" i="1"/>
  <c r="AH2223" i="1"/>
  <c r="AG2223" i="1"/>
  <c r="AF2223" i="1"/>
  <c r="AC2223" i="1"/>
  <c r="AB2223" i="1"/>
  <c r="Z2223" i="1"/>
  <c r="O2223" i="1"/>
  <c r="BF2223" i="1" s="1"/>
  <c r="L2223" i="1"/>
  <c r="AL2223" i="1" s="1"/>
  <c r="BW2221" i="1"/>
  <c r="BJ2221" i="1"/>
  <c r="BD2221" i="1"/>
  <c r="AP2221" i="1"/>
  <c r="BI2221" i="1" s="1"/>
  <c r="AE2221" i="1" s="1"/>
  <c r="AO2221" i="1"/>
  <c r="AW2221" i="1" s="1"/>
  <c r="AK2221" i="1"/>
  <c r="AJ2221" i="1"/>
  <c r="AH2221" i="1"/>
  <c r="AG2221" i="1"/>
  <c r="AF2221" i="1"/>
  <c r="AC2221" i="1"/>
  <c r="AB2221" i="1"/>
  <c r="Z2221" i="1"/>
  <c r="O2221" i="1"/>
  <c r="BF2221" i="1" s="1"/>
  <c r="L2221" i="1"/>
  <c r="BW2151" i="1"/>
  <c r="BJ2151" i="1"/>
  <c r="BD2151" i="1"/>
  <c r="AP2151" i="1"/>
  <c r="AO2151" i="1"/>
  <c r="AK2151" i="1"/>
  <c r="AJ2151" i="1"/>
  <c r="AH2151" i="1"/>
  <c r="AG2151" i="1"/>
  <c r="AF2151" i="1"/>
  <c r="AC2151" i="1"/>
  <c r="AB2151" i="1"/>
  <c r="Z2151" i="1"/>
  <c r="O2151" i="1"/>
  <c r="L2151" i="1"/>
  <c r="AL2151" i="1" s="1"/>
  <c r="BW2149" i="1"/>
  <c r="BJ2149" i="1"/>
  <c r="Z2149" i="1" s="1"/>
  <c r="BD2149" i="1"/>
  <c r="AP2149" i="1"/>
  <c r="AO2149" i="1"/>
  <c r="AK2149" i="1"/>
  <c r="AJ2149" i="1"/>
  <c r="AH2149" i="1"/>
  <c r="AG2149" i="1"/>
  <c r="AF2149" i="1"/>
  <c r="AE2149" i="1"/>
  <c r="AD2149" i="1"/>
  <c r="AC2149" i="1"/>
  <c r="AB2149" i="1"/>
  <c r="O2149" i="1"/>
  <c r="BF2149" i="1" s="1"/>
  <c r="L2149" i="1"/>
  <c r="AL2149" i="1" s="1"/>
  <c r="BW2146" i="1"/>
  <c r="BJ2146" i="1"/>
  <c r="BD2146" i="1"/>
  <c r="AP2146" i="1"/>
  <c r="K2146" i="1" s="1"/>
  <c r="AO2146" i="1"/>
  <c r="BH2146" i="1" s="1"/>
  <c r="AD2146" i="1" s="1"/>
  <c r="AK2146" i="1"/>
  <c r="AJ2146" i="1"/>
  <c r="AH2146" i="1"/>
  <c r="AG2146" i="1"/>
  <c r="AF2146" i="1"/>
  <c r="AC2146" i="1"/>
  <c r="AB2146" i="1"/>
  <c r="Z2146" i="1"/>
  <c r="O2146" i="1"/>
  <c r="BF2146" i="1" s="1"/>
  <c r="L2146" i="1"/>
  <c r="AL2146" i="1" s="1"/>
  <c r="BW2144" i="1"/>
  <c r="BJ2144" i="1"/>
  <c r="BD2144" i="1"/>
  <c r="AP2144" i="1"/>
  <c r="AX2144" i="1" s="1"/>
  <c r="AO2144" i="1"/>
  <c r="BH2144" i="1" s="1"/>
  <c r="AD2144" i="1" s="1"/>
  <c r="AK2144" i="1"/>
  <c r="AJ2144" i="1"/>
  <c r="AH2144" i="1"/>
  <c r="AG2144" i="1"/>
  <c r="AF2144" i="1"/>
  <c r="AC2144" i="1"/>
  <c r="AB2144" i="1"/>
  <c r="Z2144" i="1"/>
  <c r="O2144" i="1"/>
  <c r="BF2144" i="1" s="1"/>
  <c r="L2144" i="1"/>
  <c r="BW2124" i="1"/>
  <c r="BJ2124" i="1"/>
  <c r="BD2124" i="1"/>
  <c r="AP2124" i="1"/>
  <c r="AO2124" i="1"/>
  <c r="AK2124" i="1"/>
  <c r="AJ2124" i="1"/>
  <c r="AH2124" i="1"/>
  <c r="AG2124" i="1"/>
  <c r="AF2124" i="1"/>
  <c r="AC2124" i="1"/>
  <c r="AB2124" i="1"/>
  <c r="Z2124" i="1"/>
  <c r="O2124" i="1"/>
  <c r="L2124" i="1"/>
  <c r="AL2124" i="1" s="1"/>
  <c r="BW2032" i="1"/>
  <c r="BJ2032" i="1"/>
  <c r="Z2032" i="1" s="1"/>
  <c r="BD2032" i="1"/>
  <c r="AP2032" i="1"/>
  <c r="K2032" i="1" s="1"/>
  <c r="AO2032" i="1"/>
  <c r="AW2032" i="1" s="1"/>
  <c r="AK2032" i="1"/>
  <c r="AJ2032" i="1"/>
  <c r="AH2032" i="1"/>
  <c r="AG2032" i="1"/>
  <c r="AF2032" i="1"/>
  <c r="AE2032" i="1"/>
  <c r="AD2032" i="1"/>
  <c r="AC2032" i="1"/>
  <c r="AB2032" i="1"/>
  <c r="O2032" i="1"/>
  <c r="BF2032" i="1" s="1"/>
  <c r="L2032" i="1"/>
  <c r="AL2032" i="1" s="1"/>
  <c r="J2032" i="1"/>
  <c r="BW2029" i="1"/>
  <c r="BJ2029" i="1"/>
  <c r="BD2029" i="1"/>
  <c r="AP2029" i="1"/>
  <c r="AX2029" i="1" s="1"/>
  <c r="AO2029" i="1"/>
  <c r="BH2029" i="1" s="1"/>
  <c r="AD2029" i="1" s="1"/>
  <c r="AK2029" i="1"/>
  <c r="AJ2029" i="1"/>
  <c r="AH2029" i="1"/>
  <c r="AG2029" i="1"/>
  <c r="AF2029" i="1"/>
  <c r="AC2029" i="1"/>
  <c r="AB2029" i="1"/>
  <c r="Z2029" i="1"/>
  <c r="O2029" i="1"/>
  <c r="BF2029" i="1" s="1"/>
  <c r="L2029" i="1"/>
  <c r="BW2021" i="1"/>
  <c r="BJ2021" i="1"/>
  <c r="BD2021" i="1"/>
  <c r="AP2021" i="1"/>
  <c r="AO2021" i="1"/>
  <c r="AK2021" i="1"/>
  <c r="AJ2021" i="1"/>
  <c r="AH2021" i="1"/>
  <c r="AG2021" i="1"/>
  <c r="AF2021" i="1"/>
  <c r="AC2021" i="1"/>
  <c r="AB2021" i="1"/>
  <c r="Z2021" i="1"/>
  <c r="O2021" i="1"/>
  <c r="BF2021" i="1" s="1"/>
  <c r="L2021" i="1"/>
  <c r="AL2021" i="1" s="1"/>
  <c r="BW2018" i="1"/>
  <c r="BJ2018" i="1"/>
  <c r="BD2018" i="1"/>
  <c r="AP2018" i="1"/>
  <c r="BI2018" i="1" s="1"/>
  <c r="AE2018" i="1" s="1"/>
  <c r="AO2018" i="1"/>
  <c r="AK2018" i="1"/>
  <c r="AJ2018" i="1"/>
  <c r="AH2018" i="1"/>
  <c r="AG2018" i="1"/>
  <c r="AF2018" i="1"/>
  <c r="AC2018" i="1"/>
  <c r="AB2018" i="1"/>
  <c r="Z2018" i="1"/>
  <c r="O2018" i="1"/>
  <c r="BF2018" i="1" s="1"/>
  <c r="L2018" i="1"/>
  <c r="AL2018" i="1" s="1"/>
  <c r="BW2011" i="1"/>
  <c r="BJ2011" i="1"/>
  <c r="BD2011" i="1"/>
  <c r="AP2011" i="1"/>
  <c r="AX2011" i="1" s="1"/>
  <c r="AO2011" i="1"/>
  <c r="BH2011" i="1" s="1"/>
  <c r="AD2011" i="1" s="1"/>
  <c r="AK2011" i="1"/>
  <c r="AJ2011" i="1"/>
  <c r="AH2011" i="1"/>
  <c r="AG2011" i="1"/>
  <c r="AF2011" i="1"/>
  <c r="AC2011" i="1"/>
  <c r="AB2011" i="1"/>
  <c r="Z2011" i="1"/>
  <c r="O2011" i="1"/>
  <c r="BF2011" i="1" s="1"/>
  <c r="L2011" i="1"/>
  <c r="BW2003" i="1"/>
  <c r="BJ2003" i="1"/>
  <c r="BD2003" i="1"/>
  <c r="AP2003" i="1"/>
  <c r="AO2003" i="1"/>
  <c r="AK2003" i="1"/>
  <c r="AJ2003" i="1"/>
  <c r="AH2003" i="1"/>
  <c r="AG2003" i="1"/>
  <c r="AF2003" i="1"/>
  <c r="AC2003" i="1"/>
  <c r="AB2003" i="1"/>
  <c r="Z2003" i="1"/>
  <c r="O2003" i="1"/>
  <c r="BF2003" i="1" s="1"/>
  <c r="L2003" i="1"/>
  <c r="BW2001" i="1"/>
  <c r="BJ2001" i="1"/>
  <c r="BD2001" i="1"/>
  <c r="AP2001" i="1"/>
  <c r="K2001" i="1" s="1"/>
  <c r="AO2001" i="1"/>
  <c r="BH2001" i="1" s="1"/>
  <c r="AD2001" i="1" s="1"/>
  <c r="AK2001" i="1"/>
  <c r="AJ2001" i="1"/>
  <c r="AH2001" i="1"/>
  <c r="AG2001" i="1"/>
  <c r="AF2001" i="1"/>
  <c r="AC2001" i="1"/>
  <c r="AB2001" i="1"/>
  <c r="Z2001" i="1"/>
  <c r="O2001" i="1"/>
  <c r="BF2001" i="1" s="1"/>
  <c r="L2001" i="1"/>
  <c r="AL2001" i="1" s="1"/>
  <c r="BW1999" i="1"/>
  <c r="BJ1999" i="1"/>
  <c r="Z1999" i="1" s="1"/>
  <c r="BD1999" i="1"/>
  <c r="AP1999" i="1"/>
  <c r="AX1999" i="1" s="1"/>
  <c r="AO1999" i="1"/>
  <c r="AW1999" i="1" s="1"/>
  <c r="AK1999" i="1"/>
  <c r="AJ1999" i="1"/>
  <c r="AH1999" i="1"/>
  <c r="AG1999" i="1"/>
  <c r="AF1999" i="1"/>
  <c r="AE1999" i="1"/>
  <c r="AD1999" i="1"/>
  <c r="AC1999" i="1"/>
  <c r="AB1999" i="1"/>
  <c r="O1999" i="1"/>
  <c r="BF1999" i="1" s="1"/>
  <c r="L1999" i="1"/>
  <c r="AL1999" i="1" s="1"/>
  <c r="BW1994" i="1"/>
  <c r="BJ1994" i="1"/>
  <c r="BD1994" i="1"/>
  <c r="AP1994" i="1"/>
  <c r="AX1994" i="1" s="1"/>
  <c r="AO1994" i="1"/>
  <c r="BH1994" i="1" s="1"/>
  <c r="AD1994" i="1" s="1"/>
  <c r="AK1994" i="1"/>
  <c r="AJ1994" i="1"/>
  <c r="AH1994" i="1"/>
  <c r="AG1994" i="1"/>
  <c r="AF1994" i="1"/>
  <c r="AC1994" i="1"/>
  <c r="AB1994" i="1"/>
  <c r="Z1994" i="1"/>
  <c r="O1994" i="1"/>
  <c r="BF1994" i="1" s="1"/>
  <c r="L1994" i="1"/>
  <c r="K1994" i="1"/>
  <c r="BW1991" i="1"/>
  <c r="BJ1991" i="1"/>
  <c r="BD1991" i="1"/>
  <c r="AP1991" i="1"/>
  <c r="AO1991" i="1"/>
  <c r="AK1991" i="1"/>
  <c r="AJ1991" i="1"/>
  <c r="AH1991" i="1"/>
  <c r="AG1991" i="1"/>
  <c r="AF1991" i="1"/>
  <c r="AC1991" i="1"/>
  <c r="AB1991" i="1"/>
  <c r="Z1991" i="1"/>
  <c r="O1991" i="1"/>
  <c r="BF1991" i="1" s="1"/>
  <c r="L1991" i="1"/>
  <c r="AL1991" i="1" s="1"/>
  <c r="BW1988" i="1"/>
  <c r="BJ1988" i="1"/>
  <c r="BD1988" i="1"/>
  <c r="AP1988" i="1"/>
  <c r="BI1988" i="1" s="1"/>
  <c r="AE1988" i="1" s="1"/>
  <c r="AO1988" i="1"/>
  <c r="J1988" i="1" s="1"/>
  <c r="AK1988" i="1"/>
  <c r="AJ1988" i="1"/>
  <c r="AH1988" i="1"/>
  <c r="AG1988" i="1"/>
  <c r="AF1988" i="1"/>
  <c r="AC1988" i="1"/>
  <c r="AB1988" i="1"/>
  <c r="Z1988" i="1"/>
  <c r="O1988" i="1"/>
  <c r="BF1988" i="1" s="1"/>
  <c r="L1988" i="1"/>
  <c r="AL1988" i="1" s="1"/>
  <c r="BW1985" i="1"/>
  <c r="BJ1985" i="1"/>
  <c r="BD1985" i="1"/>
  <c r="AP1985" i="1"/>
  <c r="AX1985" i="1" s="1"/>
  <c r="AO1985" i="1"/>
  <c r="AW1985" i="1" s="1"/>
  <c r="AK1985" i="1"/>
  <c r="AJ1985" i="1"/>
  <c r="AH1985" i="1"/>
  <c r="AG1985" i="1"/>
  <c r="AF1985" i="1"/>
  <c r="AC1985" i="1"/>
  <c r="AB1985" i="1"/>
  <c r="Z1985" i="1"/>
  <c r="O1985" i="1"/>
  <c r="BF1985" i="1" s="1"/>
  <c r="L1985" i="1"/>
  <c r="BW1982" i="1"/>
  <c r="BJ1982" i="1"/>
  <c r="BD1982" i="1"/>
  <c r="AP1982" i="1"/>
  <c r="AO1982" i="1"/>
  <c r="AK1982" i="1"/>
  <c r="AJ1982" i="1"/>
  <c r="AH1982" i="1"/>
  <c r="AG1982" i="1"/>
  <c r="AF1982" i="1"/>
  <c r="AC1982" i="1"/>
  <c r="AB1982" i="1"/>
  <c r="Z1982" i="1"/>
  <c r="O1982" i="1"/>
  <c r="BF1982" i="1" s="1"/>
  <c r="L1982" i="1"/>
  <c r="AL1982" i="1" s="1"/>
  <c r="BW1979" i="1"/>
  <c r="BJ1979" i="1"/>
  <c r="BD1979" i="1"/>
  <c r="AP1979" i="1"/>
  <c r="K1979" i="1" s="1"/>
  <c r="AO1979" i="1"/>
  <c r="AK1979" i="1"/>
  <c r="AJ1979" i="1"/>
  <c r="AH1979" i="1"/>
  <c r="AG1979" i="1"/>
  <c r="AF1979" i="1"/>
  <c r="AC1979" i="1"/>
  <c r="AB1979" i="1"/>
  <c r="Z1979" i="1"/>
  <c r="O1979" i="1"/>
  <c r="BF1979" i="1" s="1"/>
  <c r="L1979" i="1"/>
  <c r="AL1979" i="1" s="1"/>
  <c r="BW1976" i="1"/>
  <c r="BJ1976" i="1"/>
  <c r="BD1976" i="1"/>
  <c r="AP1976" i="1"/>
  <c r="AX1976" i="1" s="1"/>
  <c r="AO1976" i="1"/>
  <c r="AW1976" i="1" s="1"/>
  <c r="AK1976" i="1"/>
  <c r="AJ1976" i="1"/>
  <c r="AH1976" i="1"/>
  <c r="AG1976" i="1"/>
  <c r="AF1976" i="1"/>
  <c r="AC1976" i="1"/>
  <c r="AB1976" i="1"/>
  <c r="Z1976" i="1"/>
  <c r="O1976" i="1"/>
  <c r="BF1976" i="1" s="1"/>
  <c r="L1976" i="1"/>
  <c r="BW1973" i="1"/>
  <c r="BJ1973" i="1"/>
  <c r="BD1973" i="1"/>
  <c r="AP1973" i="1"/>
  <c r="AO1973" i="1"/>
  <c r="AK1973" i="1"/>
  <c r="AJ1973" i="1"/>
  <c r="AH1973" i="1"/>
  <c r="AG1973" i="1"/>
  <c r="AF1973" i="1"/>
  <c r="AC1973" i="1"/>
  <c r="AB1973" i="1"/>
  <c r="Z1973" i="1"/>
  <c r="O1973" i="1"/>
  <c r="BF1973" i="1" s="1"/>
  <c r="L1973" i="1"/>
  <c r="BW1969" i="1"/>
  <c r="BJ1969" i="1"/>
  <c r="BD1969" i="1"/>
  <c r="AP1969" i="1"/>
  <c r="AX1969" i="1" s="1"/>
  <c r="AO1969" i="1"/>
  <c r="BH1969" i="1" s="1"/>
  <c r="AD1969" i="1" s="1"/>
  <c r="AK1969" i="1"/>
  <c r="AJ1969" i="1"/>
  <c r="AH1969" i="1"/>
  <c r="AG1969" i="1"/>
  <c r="AF1969" i="1"/>
  <c r="AC1969" i="1"/>
  <c r="AB1969" i="1"/>
  <c r="Z1969" i="1"/>
  <c r="O1969" i="1"/>
  <c r="BF1969" i="1" s="1"/>
  <c r="L1969" i="1"/>
  <c r="AL1969" i="1" s="1"/>
  <c r="BW1966" i="1"/>
  <c r="BJ1966" i="1"/>
  <c r="BD1966" i="1"/>
  <c r="AP1966" i="1"/>
  <c r="AX1966" i="1" s="1"/>
  <c r="AO1966" i="1"/>
  <c r="AW1966" i="1" s="1"/>
  <c r="AK1966" i="1"/>
  <c r="AJ1966" i="1"/>
  <c r="AH1966" i="1"/>
  <c r="AG1966" i="1"/>
  <c r="AF1966" i="1"/>
  <c r="AC1966" i="1"/>
  <c r="AB1966" i="1"/>
  <c r="Z1966" i="1"/>
  <c r="O1966" i="1"/>
  <c r="BF1966" i="1" s="1"/>
  <c r="L1966" i="1"/>
  <c r="BW1962" i="1"/>
  <c r="BJ1962" i="1"/>
  <c r="BD1962" i="1"/>
  <c r="AP1962" i="1"/>
  <c r="K1962" i="1" s="1"/>
  <c r="AO1962" i="1"/>
  <c r="AK1962" i="1"/>
  <c r="AJ1962" i="1"/>
  <c r="AH1962" i="1"/>
  <c r="AG1962" i="1"/>
  <c r="AF1962" i="1"/>
  <c r="AC1962" i="1"/>
  <c r="AB1962" i="1"/>
  <c r="Z1962" i="1"/>
  <c r="O1962" i="1"/>
  <c r="BF1962" i="1" s="1"/>
  <c r="L1962" i="1"/>
  <c r="AL1962" i="1" s="1"/>
  <c r="BW1957" i="1"/>
  <c r="BJ1957" i="1"/>
  <c r="BD1957" i="1"/>
  <c r="AP1957" i="1"/>
  <c r="AX1957" i="1" s="1"/>
  <c r="AO1957" i="1"/>
  <c r="J1957" i="1" s="1"/>
  <c r="AK1957" i="1"/>
  <c r="AJ1957" i="1"/>
  <c r="AH1957" i="1"/>
  <c r="AG1957" i="1"/>
  <c r="AF1957" i="1"/>
  <c r="AC1957" i="1"/>
  <c r="AB1957" i="1"/>
  <c r="Z1957" i="1"/>
  <c r="O1957" i="1"/>
  <c r="BF1957" i="1" s="1"/>
  <c r="L1957" i="1"/>
  <c r="AL1957" i="1" s="1"/>
  <c r="BW1956" i="1"/>
  <c r="BJ1956" i="1"/>
  <c r="BD1956" i="1"/>
  <c r="AP1956" i="1"/>
  <c r="AX1956" i="1" s="1"/>
  <c r="AO1956" i="1"/>
  <c r="AW1956" i="1" s="1"/>
  <c r="AK1956" i="1"/>
  <c r="AJ1956" i="1"/>
  <c r="AH1956" i="1"/>
  <c r="AG1956" i="1"/>
  <c r="AF1956" i="1"/>
  <c r="AC1956" i="1"/>
  <c r="AB1956" i="1"/>
  <c r="Z1956" i="1"/>
  <c r="O1956" i="1"/>
  <c r="BF1956" i="1" s="1"/>
  <c r="L1956" i="1"/>
  <c r="BW1954" i="1"/>
  <c r="BJ1954" i="1"/>
  <c r="BD1954" i="1"/>
  <c r="AP1954" i="1"/>
  <c r="BI1954" i="1" s="1"/>
  <c r="AE1954" i="1" s="1"/>
  <c r="AO1954" i="1"/>
  <c r="AK1954" i="1"/>
  <c r="AJ1954" i="1"/>
  <c r="AH1954" i="1"/>
  <c r="AG1954" i="1"/>
  <c r="AF1954" i="1"/>
  <c r="AC1954" i="1"/>
  <c r="AB1954" i="1"/>
  <c r="Z1954" i="1"/>
  <c r="O1954" i="1"/>
  <c r="BF1954" i="1" s="1"/>
  <c r="L1954" i="1"/>
  <c r="AL1954" i="1" s="1"/>
  <c r="BW1952" i="1"/>
  <c r="BJ1952" i="1"/>
  <c r="BD1952" i="1"/>
  <c r="AP1952" i="1"/>
  <c r="K1952" i="1" s="1"/>
  <c r="AO1952" i="1"/>
  <c r="BH1952" i="1" s="1"/>
  <c r="AD1952" i="1" s="1"/>
  <c r="AK1952" i="1"/>
  <c r="AJ1952" i="1"/>
  <c r="AH1952" i="1"/>
  <c r="AG1952" i="1"/>
  <c r="AF1952" i="1"/>
  <c r="AC1952" i="1"/>
  <c r="AB1952" i="1"/>
  <c r="Z1952" i="1"/>
  <c r="O1952" i="1"/>
  <c r="BF1952" i="1" s="1"/>
  <c r="L1952" i="1"/>
  <c r="BW1950" i="1"/>
  <c r="BJ1950" i="1"/>
  <c r="BD1950" i="1"/>
  <c r="AP1950" i="1"/>
  <c r="K1950" i="1" s="1"/>
  <c r="AO1950" i="1"/>
  <c r="AK1950" i="1"/>
  <c r="AJ1950" i="1"/>
  <c r="AH1950" i="1"/>
  <c r="AG1950" i="1"/>
  <c r="AF1950" i="1"/>
  <c r="AC1950" i="1"/>
  <c r="AB1950" i="1"/>
  <c r="Z1950" i="1"/>
  <c r="O1950" i="1"/>
  <c r="BF1950" i="1" s="1"/>
  <c r="L1950" i="1"/>
  <c r="BW1948" i="1"/>
  <c r="BJ1948" i="1"/>
  <c r="BD1948" i="1"/>
  <c r="AP1948" i="1"/>
  <c r="K1948" i="1" s="1"/>
  <c r="AO1948" i="1"/>
  <c r="AK1948" i="1"/>
  <c r="AJ1948" i="1"/>
  <c r="AH1948" i="1"/>
  <c r="AG1948" i="1"/>
  <c r="AF1948" i="1"/>
  <c r="AC1948" i="1"/>
  <c r="AB1948" i="1"/>
  <c r="Z1948" i="1"/>
  <c r="O1948" i="1"/>
  <c r="BF1948" i="1" s="1"/>
  <c r="L1948" i="1"/>
  <c r="BW1938" i="1"/>
  <c r="BJ1938" i="1"/>
  <c r="BD1938" i="1"/>
  <c r="AP1938" i="1"/>
  <c r="AO1938" i="1"/>
  <c r="BH1938" i="1" s="1"/>
  <c r="AD1938" i="1" s="1"/>
  <c r="AK1938" i="1"/>
  <c r="AJ1938" i="1"/>
  <c r="AH1938" i="1"/>
  <c r="AG1938" i="1"/>
  <c r="AF1938" i="1"/>
  <c r="AC1938" i="1"/>
  <c r="AB1938" i="1"/>
  <c r="Z1938" i="1"/>
  <c r="O1938" i="1"/>
  <c r="BF1938" i="1" s="1"/>
  <c r="L1938" i="1"/>
  <c r="AL1938" i="1" s="1"/>
  <c r="BW1936" i="1"/>
  <c r="BJ1936" i="1"/>
  <c r="BD1936" i="1"/>
  <c r="AP1936" i="1"/>
  <c r="AX1936" i="1" s="1"/>
  <c r="AO1936" i="1"/>
  <c r="AW1936" i="1" s="1"/>
  <c r="AK1936" i="1"/>
  <c r="AJ1936" i="1"/>
  <c r="AH1936" i="1"/>
  <c r="AG1936" i="1"/>
  <c r="AF1936" i="1"/>
  <c r="AC1936" i="1"/>
  <c r="AB1936" i="1"/>
  <c r="Z1936" i="1"/>
  <c r="O1936" i="1"/>
  <c r="BF1936" i="1" s="1"/>
  <c r="L1936" i="1"/>
  <c r="BW1934" i="1"/>
  <c r="BJ1934" i="1"/>
  <c r="BD1934" i="1"/>
  <c r="AP1934" i="1"/>
  <c r="K1934" i="1" s="1"/>
  <c r="AO1934" i="1"/>
  <c r="AK1934" i="1"/>
  <c r="AJ1934" i="1"/>
  <c r="AH1934" i="1"/>
  <c r="AG1934" i="1"/>
  <c r="AF1934" i="1"/>
  <c r="AC1934" i="1"/>
  <c r="AB1934" i="1"/>
  <c r="Z1934" i="1"/>
  <c r="O1934" i="1"/>
  <c r="BF1934" i="1" s="1"/>
  <c r="L1934" i="1"/>
  <c r="BW1932" i="1"/>
  <c r="BJ1932" i="1"/>
  <c r="BD1932" i="1"/>
  <c r="AP1932" i="1"/>
  <c r="AX1932" i="1" s="1"/>
  <c r="AO1932" i="1"/>
  <c r="BH1932" i="1" s="1"/>
  <c r="AD1932" i="1" s="1"/>
  <c r="AK1932" i="1"/>
  <c r="AJ1932" i="1"/>
  <c r="AH1932" i="1"/>
  <c r="AG1932" i="1"/>
  <c r="AF1932" i="1"/>
  <c r="AC1932" i="1"/>
  <c r="AB1932" i="1"/>
  <c r="Z1932" i="1"/>
  <c r="O1932" i="1"/>
  <c r="BF1932" i="1" s="1"/>
  <c r="L1932" i="1"/>
  <c r="AL1932" i="1" s="1"/>
  <c r="BW1930" i="1"/>
  <c r="BJ1930" i="1"/>
  <c r="BD1930" i="1"/>
  <c r="AP1930" i="1"/>
  <c r="AX1930" i="1" s="1"/>
  <c r="AO1930" i="1"/>
  <c r="AK1930" i="1"/>
  <c r="AJ1930" i="1"/>
  <c r="AH1930" i="1"/>
  <c r="AG1930" i="1"/>
  <c r="AF1930" i="1"/>
  <c r="AC1930" i="1"/>
  <c r="AB1930" i="1"/>
  <c r="Z1930" i="1"/>
  <c r="O1930" i="1"/>
  <c r="BF1930" i="1" s="1"/>
  <c r="L1930" i="1"/>
  <c r="BW1928" i="1"/>
  <c r="BJ1928" i="1"/>
  <c r="BD1928" i="1"/>
  <c r="AP1928" i="1"/>
  <c r="BI1928" i="1" s="1"/>
  <c r="AE1928" i="1" s="1"/>
  <c r="AO1928" i="1"/>
  <c r="AK1928" i="1"/>
  <c r="AJ1928" i="1"/>
  <c r="AH1928" i="1"/>
  <c r="AG1928" i="1"/>
  <c r="AF1928" i="1"/>
  <c r="AC1928" i="1"/>
  <c r="AB1928" i="1"/>
  <c r="Z1928" i="1"/>
  <c r="O1928" i="1"/>
  <c r="BF1928" i="1" s="1"/>
  <c r="L1928" i="1"/>
  <c r="AL1928" i="1" s="1"/>
  <c r="BW1926" i="1"/>
  <c r="BJ1926" i="1"/>
  <c r="BD1926" i="1"/>
  <c r="AP1926" i="1"/>
  <c r="AX1926" i="1" s="1"/>
  <c r="AO1926" i="1"/>
  <c r="BH1926" i="1" s="1"/>
  <c r="AD1926" i="1" s="1"/>
  <c r="AK1926" i="1"/>
  <c r="AJ1926" i="1"/>
  <c r="AH1926" i="1"/>
  <c r="AG1926" i="1"/>
  <c r="AF1926" i="1"/>
  <c r="AC1926" i="1"/>
  <c r="AB1926" i="1"/>
  <c r="Z1926" i="1"/>
  <c r="O1926" i="1"/>
  <c r="BF1926" i="1" s="1"/>
  <c r="L1926" i="1"/>
  <c r="AL1926" i="1" s="1"/>
  <c r="BW1924" i="1"/>
  <c r="BJ1924" i="1"/>
  <c r="BD1924" i="1"/>
  <c r="AP1924" i="1"/>
  <c r="AX1924" i="1" s="1"/>
  <c r="AO1924" i="1"/>
  <c r="BH1924" i="1" s="1"/>
  <c r="AD1924" i="1" s="1"/>
  <c r="AK1924" i="1"/>
  <c r="AJ1924" i="1"/>
  <c r="AH1924" i="1"/>
  <c r="AG1924" i="1"/>
  <c r="AF1924" i="1"/>
  <c r="AC1924" i="1"/>
  <c r="AB1924" i="1"/>
  <c r="Z1924" i="1"/>
  <c r="O1924" i="1"/>
  <c r="BF1924" i="1" s="1"/>
  <c r="L1924" i="1"/>
  <c r="BW1923" i="1"/>
  <c r="BJ1923" i="1"/>
  <c r="BD1923" i="1"/>
  <c r="AP1923" i="1"/>
  <c r="K1923" i="1" s="1"/>
  <c r="AO1923" i="1"/>
  <c r="AK1923" i="1"/>
  <c r="AJ1923" i="1"/>
  <c r="AH1923" i="1"/>
  <c r="AG1923" i="1"/>
  <c r="AF1923" i="1"/>
  <c r="AC1923" i="1"/>
  <c r="AB1923" i="1"/>
  <c r="Z1923" i="1"/>
  <c r="O1923" i="1"/>
  <c r="BF1923" i="1" s="1"/>
  <c r="L1923" i="1"/>
  <c r="AL1923" i="1" s="1"/>
  <c r="BW1921" i="1"/>
  <c r="BJ1921" i="1"/>
  <c r="BD1921" i="1"/>
  <c r="AP1921" i="1"/>
  <c r="AO1921" i="1"/>
  <c r="BH1921" i="1" s="1"/>
  <c r="AD1921" i="1" s="1"/>
  <c r="AK1921" i="1"/>
  <c r="AJ1921" i="1"/>
  <c r="AH1921" i="1"/>
  <c r="AG1921" i="1"/>
  <c r="AF1921" i="1"/>
  <c r="AC1921" i="1"/>
  <c r="AB1921" i="1"/>
  <c r="Z1921" i="1"/>
  <c r="O1921" i="1"/>
  <c r="BF1921" i="1" s="1"/>
  <c r="L1921" i="1"/>
  <c r="AL1921" i="1" s="1"/>
  <c r="BW1918" i="1"/>
  <c r="BJ1918" i="1"/>
  <c r="BD1918" i="1"/>
  <c r="AP1918" i="1"/>
  <c r="AX1918" i="1" s="1"/>
  <c r="AO1918" i="1"/>
  <c r="AW1918" i="1" s="1"/>
  <c r="AK1918" i="1"/>
  <c r="AJ1918" i="1"/>
  <c r="AH1918" i="1"/>
  <c r="AG1918" i="1"/>
  <c r="AF1918" i="1"/>
  <c r="AC1918" i="1"/>
  <c r="AB1918" i="1"/>
  <c r="Z1918" i="1"/>
  <c r="O1918" i="1"/>
  <c r="BF1918" i="1" s="1"/>
  <c r="L1918" i="1"/>
  <c r="AL1918" i="1" s="1"/>
  <c r="BW1916" i="1"/>
  <c r="BJ1916" i="1"/>
  <c r="BD1916" i="1"/>
  <c r="AP1916" i="1"/>
  <c r="AX1916" i="1" s="1"/>
  <c r="AO1916" i="1"/>
  <c r="AW1916" i="1" s="1"/>
  <c r="AK1916" i="1"/>
  <c r="AJ1916" i="1"/>
  <c r="AH1916" i="1"/>
  <c r="AG1916" i="1"/>
  <c r="AF1916" i="1"/>
  <c r="AC1916" i="1"/>
  <c r="AB1916" i="1"/>
  <c r="Z1916" i="1"/>
  <c r="O1916" i="1"/>
  <c r="BF1916" i="1" s="1"/>
  <c r="L1916" i="1"/>
  <c r="AL1916" i="1" s="1"/>
  <c r="BW1915" i="1"/>
  <c r="BJ1915" i="1"/>
  <c r="BD1915" i="1"/>
  <c r="AP1915" i="1"/>
  <c r="AX1915" i="1" s="1"/>
  <c r="AO1915" i="1"/>
  <c r="J1915" i="1" s="1"/>
  <c r="AK1915" i="1"/>
  <c r="AJ1915" i="1"/>
  <c r="AH1915" i="1"/>
  <c r="AG1915" i="1"/>
  <c r="AF1915" i="1"/>
  <c r="AC1915" i="1"/>
  <c r="AB1915" i="1"/>
  <c r="Z1915" i="1"/>
  <c r="O1915" i="1"/>
  <c r="BF1915" i="1" s="1"/>
  <c r="L1915" i="1"/>
  <c r="AL1915" i="1" s="1"/>
  <c r="BW1914" i="1"/>
  <c r="BJ1914" i="1"/>
  <c r="BD1914" i="1"/>
  <c r="AP1914" i="1"/>
  <c r="AX1914" i="1" s="1"/>
  <c r="AO1914" i="1"/>
  <c r="BH1914" i="1" s="1"/>
  <c r="AD1914" i="1" s="1"/>
  <c r="AK1914" i="1"/>
  <c r="AJ1914" i="1"/>
  <c r="AH1914" i="1"/>
  <c r="AG1914" i="1"/>
  <c r="AF1914" i="1"/>
  <c r="AC1914" i="1"/>
  <c r="AB1914" i="1"/>
  <c r="Z1914" i="1"/>
  <c r="O1914" i="1"/>
  <c r="BF1914" i="1" s="1"/>
  <c r="L1914" i="1"/>
  <c r="BW1913" i="1"/>
  <c r="BJ1913" i="1"/>
  <c r="BD1913" i="1"/>
  <c r="AP1913" i="1"/>
  <c r="K1913" i="1" s="1"/>
  <c r="AO1913" i="1"/>
  <c r="AK1913" i="1"/>
  <c r="AJ1913" i="1"/>
  <c r="AH1913" i="1"/>
  <c r="AG1913" i="1"/>
  <c r="AF1913" i="1"/>
  <c r="AC1913" i="1"/>
  <c r="AB1913" i="1"/>
  <c r="Z1913" i="1"/>
  <c r="O1913" i="1"/>
  <c r="BF1913" i="1" s="1"/>
  <c r="L1913" i="1"/>
  <c r="AL1913" i="1" s="1"/>
  <c r="BW1912" i="1"/>
  <c r="BJ1912" i="1"/>
  <c r="BD1912" i="1"/>
  <c r="AP1912" i="1"/>
  <c r="AO1912" i="1"/>
  <c r="BH1912" i="1" s="1"/>
  <c r="AD1912" i="1" s="1"/>
  <c r="AK1912" i="1"/>
  <c r="AJ1912" i="1"/>
  <c r="AH1912" i="1"/>
  <c r="AG1912" i="1"/>
  <c r="AF1912" i="1"/>
  <c r="AC1912" i="1"/>
  <c r="AB1912" i="1"/>
  <c r="Z1912" i="1"/>
  <c r="O1912" i="1"/>
  <c r="BF1912" i="1" s="1"/>
  <c r="L1912" i="1"/>
  <c r="AL1912" i="1" s="1"/>
  <c r="BW1911" i="1"/>
  <c r="BJ1911" i="1"/>
  <c r="BD1911" i="1"/>
  <c r="AP1911" i="1"/>
  <c r="AX1911" i="1" s="1"/>
  <c r="AO1911" i="1"/>
  <c r="AW1911" i="1" s="1"/>
  <c r="AK1911" i="1"/>
  <c r="AJ1911" i="1"/>
  <c r="AH1911" i="1"/>
  <c r="AG1911" i="1"/>
  <c r="AF1911" i="1"/>
  <c r="AC1911" i="1"/>
  <c r="AB1911" i="1"/>
  <c r="Z1911" i="1"/>
  <c r="O1911" i="1"/>
  <c r="BF1911" i="1" s="1"/>
  <c r="L1911" i="1"/>
  <c r="AL1911" i="1" s="1"/>
  <c r="BW1910" i="1"/>
  <c r="BJ1910" i="1"/>
  <c r="BD1910" i="1"/>
  <c r="AP1910" i="1"/>
  <c r="AX1910" i="1" s="1"/>
  <c r="AO1910" i="1"/>
  <c r="AW1910" i="1" s="1"/>
  <c r="AK1910" i="1"/>
  <c r="AJ1910" i="1"/>
  <c r="AH1910" i="1"/>
  <c r="AG1910" i="1"/>
  <c r="AF1910" i="1"/>
  <c r="AC1910" i="1"/>
  <c r="AB1910" i="1"/>
  <c r="Z1910" i="1"/>
  <c r="O1910" i="1"/>
  <c r="BF1910" i="1" s="1"/>
  <c r="L1910" i="1"/>
  <c r="BW1909" i="1"/>
  <c r="BJ1909" i="1"/>
  <c r="BD1909" i="1"/>
  <c r="AP1909" i="1"/>
  <c r="AX1909" i="1" s="1"/>
  <c r="AO1909" i="1"/>
  <c r="BH1909" i="1" s="1"/>
  <c r="AD1909" i="1" s="1"/>
  <c r="AK1909" i="1"/>
  <c r="AJ1909" i="1"/>
  <c r="AH1909" i="1"/>
  <c r="AG1909" i="1"/>
  <c r="AF1909" i="1"/>
  <c r="AC1909" i="1"/>
  <c r="AB1909" i="1"/>
  <c r="Z1909" i="1"/>
  <c r="O1909" i="1"/>
  <c r="BF1909" i="1" s="1"/>
  <c r="L1909" i="1"/>
  <c r="AL1909" i="1" s="1"/>
  <c r="BW1908" i="1"/>
  <c r="BJ1908" i="1"/>
  <c r="BD1908" i="1"/>
  <c r="AP1908" i="1"/>
  <c r="K1908" i="1" s="1"/>
  <c r="AO1908" i="1"/>
  <c r="J1908" i="1" s="1"/>
  <c r="AK1908" i="1"/>
  <c r="AJ1908" i="1"/>
  <c r="AH1908" i="1"/>
  <c r="AG1908" i="1"/>
  <c r="AF1908" i="1"/>
  <c r="AC1908" i="1"/>
  <c r="AB1908" i="1"/>
  <c r="Z1908" i="1"/>
  <c r="O1908" i="1"/>
  <c r="BF1908" i="1" s="1"/>
  <c r="L1908" i="1"/>
  <c r="BW1907" i="1"/>
  <c r="BJ1907" i="1"/>
  <c r="BD1907" i="1"/>
  <c r="AP1907" i="1"/>
  <c r="AX1907" i="1" s="1"/>
  <c r="AO1907" i="1"/>
  <c r="AW1907" i="1" s="1"/>
  <c r="AK1907" i="1"/>
  <c r="AJ1907" i="1"/>
  <c r="AH1907" i="1"/>
  <c r="AG1907" i="1"/>
  <c r="AF1907" i="1"/>
  <c r="AC1907" i="1"/>
  <c r="AB1907" i="1"/>
  <c r="Z1907" i="1"/>
  <c r="O1907" i="1"/>
  <c r="BF1907" i="1" s="1"/>
  <c r="L1907" i="1"/>
  <c r="AL1907" i="1" s="1"/>
  <c r="BW1906" i="1"/>
  <c r="BJ1906" i="1"/>
  <c r="BD1906" i="1"/>
  <c r="AP1906" i="1"/>
  <c r="AX1906" i="1" s="1"/>
  <c r="AO1906" i="1"/>
  <c r="AK1906" i="1"/>
  <c r="AJ1906" i="1"/>
  <c r="AH1906" i="1"/>
  <c r="AG1906" i="1"/>
  <c r="AF1906" i="1"/>
  <c r="AC1906" i="1"/>
  <c r="AB1906" i="1"/>
  <c r="Z1906" i="1"/>
  <c r="O1906" i="1"/>
  <c r="BF1906" i="1" s="1"/>
  <c r="L1906" i="1"/>
  <c r="BW1905" i="1"/>
  <c r="BJ1905" i="1"/>
  <c r="BD1905" i="1"/>
  <c r="AP1905" i="1"/>
  <c r="AX1905" i="1" s="1"/>
  <c r="AO1905" i="1"/>
  <c r="BH1905" i="1" s="1"/>
  <c r="AD1905" i="1" s="1"/>
  <c r="AK1905" i="1"/>
  <c r="AJ1905" i="1"/>
  <c r="AH1905" i="1"/>
  <c r="AG1905" i="1"/>
  <c r="AF1905" i="1"/>
  <c r="AC1905" i="1"/>
  <c r="AB1905" i="1"/>
  <c r="Z1905" i="1"/>
  <c r="O1905" i="1"/>
  <c r="BF1905" i="1" s="1"/>
  <c r="L1905" i="1"/>
  <c r="K1905" i="1"/>
  <c r="BW1904" i="1"/>
  <c r="BJ1904" i="1"/>
  <c r="BD1904" i="1"/>
  <c r="AP1904" i="1"/>
  <c r="AO1904" i="1"/>
  <c r="BH1904" i="1" s="1"/>
  <c r="AD1904" i="1" s="1"/>
  <c r="AK1904" i="1"/>
  <c r="AJ1904" i="1"/>
  <c r="AH1904" i="1"/>
  <c r="AG1904" i="1"/>
  <c r="AF1904" i="1"/>
  <c r="AC1904" i="1"/>
  <c r="AB1904" i="1"/>
  <c r="Z1904" i="1"/>
  <c r="O1904" i="1"/>
  <c r="BF1904" i="1" s="1"/>
  <c r="L1904" i="1"/>
  <c r="AL1904" i="1" s="1"/>
  <c r="BW1903" i="1"/>
  <c r="BJ1903" i="1"/>
  <c r="BD1903" i="1"/>
  <c r="AP1903" i="1"/>
  <c r="AX1903" i="1" s="1"/>
  <c r="AO1903" i="1"/>
  <c r="J1903" i="1" s="1"/>
  <c r="AK1903" i="1"/>
  <c r="AJ1903" i="1"/>
  <c r="AH1903" i="1"/>
  <c r="AG1903" i="1"/>
  <c r="AF1903" i="1"/>
  <c r="AC1903" i="1"/>
  <c r="AB1903" i="1"/>
  <c r="Z1903" i="1"/>
  <c r="O1903" i="1"/>
  <c r="BF1903" i="1" s="1"/>
  <c r="L1903" i="1"/>
  <c r="AL1903" i="1" s="1"/>
  <c r="BW1902" i="1"/>
  <c r="BJ1902" i="1"/>
  <c r="BD1902" i="1"/>
  <c r="AP1902" i="1"/>
  <c r="AX1902" i="1" s="1"/>
  <c r="AO1902" i="1"/>
  <c r="BH1902" i="1" s="1"/>
  <c r="AD1902" i="1" s="1"/>
  <c r="AK1902" i="1"/>
  <c r="AJ1902" i="1"/>
  <c r="AH1902" i="1"/>
  <c r="AG1902" i="1"/>
  <c r="AF1902" i="1"/>
  <c r="AC1902" i="1"/>
  <c r="AB1902" i="1"/>
  <c r="Z1902" i="1"/>
  <c r="O1902" i="1"/>
  <c r="BF1902" i="1" s="1"/>
  <c r="L1902" i="1"/>
  <c r="K1902" i="1"/>
  <c r="BW1901" i="1"/>
  <c r="BJ1901" i="1"/>
  <c r="BD1901" i="1"/>
  <c r="AP1901" i="1"/>
  <c r="AO1901" i="1"/>
  <c r="AW1901" i="1" s="1"/>
  <c r="AK1901" i="1"/>
  <c r="AJ1901" i="1"/>
  <c r="AH1901" i="1"/>
  <c r="AG1901" i="1"/>
  <c r="AF1901" i="1"/>
  <c r="AC1901" i="1"/>
  <c r="AB1901" i="1"/>
  <c r="Z1901" i="1"/>
  <c r="O1901" i="1"/>
  <c r="BF1901" i="1" s="1"/>
  <c r="L1901" i="1"/>
  <c r="AL1901" i="1" s="1"/>
  <c r="BW1900" i="1"/>
  <c r="BJ1900" i="1"/>
  <c r="BD1900" i="1"/>
  <c r="AP1900" i="1"/>
  <c r="AX1900" i="1" s="1"/>
  <c r="AO1900" i="1"/>
  <c r="J1900" i="1" s="1"/>
  <c r="AK1900" i="1"/>
  <c r="AJ1900" i="1"/>
  <c r="AH1900" i="1"/>
  <c r="AG1900" i="1"/>
  <c r="AF1900" i="1"/>
  <c r="AC1900" i="1"/>
  <c r="AB1900" i="1"/>
  <c r="Z1900" i="1"/>
  <c r="O1900" i="1"/>
  <c r="BF1900" i="1" s="1"/>
  <c r="L1900" i="1"/>
  <c r="BW1899" i="1"/>
  <c r="BJ1899" i="1"/>
  <c r="BD1899" i="1"/>
  <c r="AP1899" i="1"/>
  <c r="AX1899" i="1" s="1"/>
  <c r="AO1899" i="1"/>
  <c r="AK1899" i="1"/>
  <c r="AJ1899" i="1"/>
  <c r="AH1899" i="1"/>
  <c r="AG1899" i="1"/>
  <c r="AF1899" i="1"/>
  <c r="AC1899" i="1"/>
  <c r="AB1899" i="1"/>
  <c r="Z1899" i="1"/>
  <c r="O1899" i="1"/>
  <c r="BF1899" i="1" s="1"/>
  <c r="L1899" i="1"/>
  <c r="BW1898" i="1"/>
  <c r="BJ1898" i="1"/>
  <c r="BD1898" i="1"/>
  <c r="AP1898" i="1"/>
  <c r="AO1898" i="1"/>
  <c r="BH1898" i="1" s="1"/>
  <c r="AD1898" i="1" s="1"/>
  <c r="AK1898" i="1"/>
  <c r="AJ1898" i="1"/>
  <c r="AH1898" i="1"/>
  <c r="AG1898" i="1"/>
  <c r="AF1898" i="1"/>
  <c r="AC1898" i="1"/>
  <c r="AB1898" i="1"/>
  <c r="Z1898" i="1"/>
  <c r="O1898" i="1"/>
  <c r="BF1898" i="1" s="1"/>
  <c r="L1898" i="1"/>
  <c r="AL1898" i="1" s="1"/>
  <c r="BW1897" i="1"/>
  <c r="BJ1897" i="1"/>
  <c r="BD1897" i="1"/>
  <c r="AP1897" i="1"/>
  <c r="AX1897" i="1" s="1"/>
  <c r="AO1897" i="1"/>
  <c r="AW1897" i="1" s="1"/>
  <c r="AK1897" i="1"/>
  <c r="AJ1897" i="1"/>
  <c r="AH1897" i="1"/>
  <c r="AG1897" i="1"/>
  <c r="AF1897" i="1"/>
  <c r="AC1897" i="1"/>
  <c r="AB1897" i="1"/>
  <c r="Z1897" i="1"/>
  <c r="O1897" i="1"/>
  <c r="BF1897" i="1" s="1"/>
  <c r="L1897" i="1"/>
  <c r="AL1897" i="1" s="1"/>
  <c r="BW1896" i="1"/>
  <c r="BJ1896" i="1"/>
  <c r="BD1896" i="1"/>
  <c r="AP1896" i="1"/>
  <c r="AX1896" i="1" s="1"/>
  <c r="AO1896" i="1"/>
  <c r="BH1896" i="1" s="1"/>
  <c r="AD1896" i="1" s="1"/>
  <c r="AK1896" i="1"/>
  <c r="AJ1896" i="1"/>
  <c r="AH1896" i="1"/>
  <c r="AG1896" i="1"/>
  <c r="AF1896" i="1"/>
  <c r="AC1896" i="1"/>
  <c r="AB1896" i="1"/>
  <c r="Z1896" i="1"/>
  <c r="O1896" i="1"/>
  <c r="BF1896" i="1" s="1"/>
  <c r="L1896" i="1"/>
  <c r="BW1895" i="1"/>
  <c r="BJ1895" i="1"/>
  <c r="BD1895" i="1"/>
  <c r="AP1895" i="1"/>
  <c r="AO1895" i="1"/>
  <c r="BH1895" i="1" s="1"/>
  <c r="AD1895" i="1" s="1"/>
  <c r="AK1895" i="1"/>
  <c r="AJ1895" i="1"/>
  <c r="AH1895" i="1"/>
  <c r="AG1895" i="1"/>
  <c r="AF1895" i="1"/>
  <c r="AC1895" i="1"/>
  <c r="AB1895" i="1"/>
  <c r="Z1895" i="1"/>
  <c r="O1895" i="1"/>
  <c r="BF1895" i="1" s="1"/>
  <c r="L1895" i="1"/>
  <c r="AL1895" i="1" s="1"/>
  <c r="BW1893" i="1"/>
  <c r="BJ1893" i="1"/>
  <c r="Z1893" i="1" s="1"/>
  <c r="BD1893" i="1"/>
  <c r="AP1893" i="1"/>
  <c r="AO1893" i="1"/>
  <c r="J1893" i="1" s="1"/>
  <c r="AK1893" i="1"/>
  <c r="AJ1893" i="1"/>
  <c r="AH1893" i="1"/>
  <c r="AG1893" i="1"/>
  <c r="AF1893" i="1"/>
  <c r="AE1893" i="1"/>
  <c r="AD1893" i="1"/>
  <c r="AC1893" i="1"/>
  <c r="AB1893" i="1"/>
  <c r="O1893" i="1"/>
  <c r="BF1893" i="1" s="1"/>
  <c r="L1893" i="1"/>
  <c r="AL1893" i="1" s="1"/>
  <c r="BW1892" i="1"/>
  <c r="BJ1892" i="1"/>
  <c r="BD1892" i="1"/>
  <c r="AP1892" i="1"/>
  <c r="AX1892" i="1" s="1"/>
  <c r="AO1892" i="1"/>
  <c r="J1892" i="1" s="1"/>
  <c r="AK1892" i="1"/>
  <c r="AJ1892" i="1"/>
  <c r="AH1892" i="1"/>
  <c r="AG1892" i="1"/>
  <c r="AF1892" i="1"/>
  <c r="AC1892" i="1"/>
  <c r="AB1892" i="1"/>
  <c r="Z1892" i="1"/>
  <c r="O1892" i="1"/>
  <c r="BF1892" i="1" s="1"/>
  <c r="L1892" i="1"/>
  <c r="AL1892" i="1" s="1"/>
  <c r="BW1890" i="1"/>
  <c r="BJ1890" i="1"/>
  <c r="BD1890" i="1"/>
  <c r="AP1890" i="1"/>
  <c r="AX1890" i="1" s="1"/>
  <c r="AO1890" i="1"/>
  <c r="BH1890" i="1" s="1"/>
  <c r="AD1890" i="1" s="1"/>
  <c r="AK1890" i="1"/>
  <c r="AJ1890" i="1"/>
  <c r="AH1890" i="1"/>
  <c r="AG1890" i="1"/>
  <c r="AF1890" i="1"/>
  <c r="AC1890" i="1"/>
  <c r="AB1890" i="1"/>
  <c r="Z1890" i="1"/>
  <c r="O1890" i="1"/>
  <c r="BF1890" i="1" s="1"/>
  <c r="L1890" i="1"/>
  <c r="BW1888" i="1"/>
  <c r="BJ1888" i="1"/>
  <c r="BD1888" i="1"/>
  <c r="AP1888" i="1"/>
  <c r="AO1888" i="1"/>
  <c r="BH1888" i="1" s="1"/>
  <c r="AD1888" i="1" s="1"/>
  <c r="AK1888" i="1"/>
  <c r="AJ1888" i="1"/>
  <c r="AH1888" i="1"/>
  <c r="AG1888" i="1"/>
  <c r="AF1888" i="1"/>
  <c r="AC1888" i="1"/>
  <c r="AB1888" i="1"/>
  <c r="Z1888" i="1"/>
  <c r="O1888" i="1"/>
  <c r="BF1888" i="1" s="1"/>
  <c r="L1888" i="1"/>
  <c r="AL1888" i="1" s="1"/>
  <c r="BW1886" i="1"/>
  <c r="BJ1886" i="1"/>
  <c r="BD1886" i="1"/>
  <c r="AP1886" i="1"/>
  <c r="AX1886" i="1" s="1"/>
  <c r="AO1886" i="1"/>
  <c r="BH1886" i="1" s="1"/>
  <c r="AD1886" i="1" s="1"/>
  <c r="AK1886" i="1"/>
  <c r="AJ1886" i="1"/>
  <c r="AH1886" i="1"/>
  <c r="AG1886" i="1"/>
  <c r="AF1886" i="1"/>
  <c r="AC1886" i="1"/>
  <c r="AB1886" i="1"/>
  <c r="Z1886" i="1"/>
  <c r="O1886" i="1"/>
  <c r="BF1886" i="1" s="1"/>
  <c r="L1886" i="1"/>
  <c r="BW1884" i="1"/>
  <c r="BJ1884" i="1"/>
  <c r="BD1884" i="1"/>
  <c r="AP1884" i="1"/>
  <c r="AX1884" i="1" s="1"/>
  <c r="AO1884" i="1"/>
  <c r="BH1884" i="1" s="1"/>
  <c r="AD1884" i="1" s="1"/>
  <c r="AK1884" i="1"/>
  <c r="AJ1884" i="1"/>
  <c r="AH1884" i="1"/>
  <c r="AG1884" i="1"/>
  <c r="AF1884" i="1"/>
  <c r="AC1884" i="1"/>
  <c r="AB1884" i="1"/>
  <c r="Z1884" i="1"/>
  <c r="O1884" i="1"/>
  <c r="BF1884" i="1" s="1"/>
  <c r="L1884" i="1"/>
  <c r="BW1882" i="1"/>
  <c r="BJ1882" i="1"/>
  <c r="BD1882" i="1"/>
  <c r="AP1882" i="1"/>
  <c r="AO1882" i="1"/>
  <c r="AW1882" i="1" s="1"/>
  <c r="AK1882" i="1"/>
  <c r="AJ1882" i="1"/>
  <c r="AH1882" i="1"/>
  <c r="AG1882" i="1"/>
  <c r="AF1882" i="1"/>
  <c r="AC1882" i="1"/>
  <c r="AB1882" i="1"/>
  <c r="Z1882" i="1"/>
  <c r="O1882" i="1"/>
  <c r="BF1882" i="1" s="1"/>
  <c r="L1882" i="1"/>
  <c r="AL1882" i="1" s="1"/>
  <c r="BW1880" i="1"/>
  <c r="BJ1880" i="1"/>
  <c r="BD1880" i="1"/>
  <c r="AP1880" i="1"/>
  <c r="AX1880" i="1" s="1"/>
  <c r="AO1880" i="1"/>
  <c r="J1880" i="1" s="1"/>
  <c r="AK1880" i="1"/>
  <c r="AJ1880" i="1"/>
  <c r="AH1880" i="1"/>
  <c r="AG1880" i="1"/>
  <c r="AF1880" i="1"/>
  <c r="AC1880" i="1"/>
  <c r="AB1880" i="1"/>
  <c r="Z1880" i="1"/>
  <c r="O1880" i="1"/>
  <c r="BF1880" i="1" s="1"/>
  <c r="L1880" i="1"/>
  <c r="BW1878" i="1"/>
  <c r="BJ1878" i="1"/>
  <c r="BD1878" i="1"/>
  <c r="AP1878" i="1"/>
  <c r="AX1878" i="1" s="1"/>
  <c r="AO1878" i="1"/>
  <c r="BH1878" i="1" s="1"/>
  <c r="AD1878" i="1" s="1"/>
  <c r="AK1878" i="1"/>
  <c r="AJ1878" i="1"/>
  <c r="AH1878" i="1"/>
  <c r="AG1878" i="1"/>
  <c r="AF1878" i="1"/>
  <c r="AC1878" i="1"/>
  <c r="AB1878" i="1"/>
  <c r="Z1878" i="1"/>
  <c r="O1878" i="1"/>
  <c r="BF1878" i="1" s="1"/>
  <c r="L1878" i="1"/>
  <c r="BW1876" i="1"/>
  <c r="BJ1876" i="1"/>
  <c r="BD1876" i="1"/>
  <c r="AP1876" i="1"/>
  <c r="AO1876" i="1"/>
  <c r="BH1876" i="1" s="1"/>
  <c r="AD1876" i="1" s="1"/>
  <c r="AK1876" i="1"/>
  <c r="AJ1876" i="1"/>
  <c r="AH1876" i="1"/>
  <c r="AG1876" i="1"/>
  <c r="AF1876" i="1"/>
  <c r="AC1876" i="1"/>
  <c r="AB1876" i="1"/>
  <c r="Z1876" i="1"/>
  <c r="O1876" i="1"/>
  <c r="BF1876" i="1" s="1"/>
  <c r="L1876" i="1"/>
  <c r="AL1876" i="1" s="1"/>
  <c r="BW1874" i="1"/>
  <c r="BJ1874" i="1"/>
  <c r="BD1874" i="1"/>
  <c r="AP1874" i="1"/>
  <c r="AX1874" i="1" s="1"/>
  <c r="AO1874" i="1"/>
  <c r="AW1874" i="1" s="1"/>
  <c r="AK1874" i="1"/>
  <c r="AJ1874" i="1"/>
  <c r="AH1874" i="1"/>
  <c r="AG1874" i="1"/>
  <c r="AF1874" i="1"/>
  <c r="AC1874" i="1"/>
  <c r="AB1874" i="1"/>
  <c r="Z1874" i="1"/>
  <c r="O1874" i="1"/>
  <c r="BF1874" i="1" s="1"/>
  <c r="L1874" i="1"/>
  <c r="K1874" i="1"/>
  <c r="BW1872" i="1"/>
  <c r="BJ1872" i="1"/>
  <c r="BD1872" i="1"/>
  <c r="AP1872" i="1"/>
  <c r="K1872" i="1" s="1"/>
  <c r="AO1872" i="1"/>
  <c r="BH1872" i="1" s="1"/>
  <c r="AD1872" i="1" s="1"/>
  <c r="AK1872" i="1"/>
  <c r="AJ1872" i="1"/>
  <c r="AH1872" i="1"/>
  <c r="AG1872" i="1"/>
  <c r="AF1872" i="1"/>
  <c r="AC1872" i="1"/>
  <c r="AB1872" i="1"/>
  <c r="Z1872" i="1"/>
  <c r="O1872" i="1"/>
  <c r="BF1872" i="1" s="1"/>
  <c r="L1872" i="1"/>
  <c r="BW1870" i="1"/>
  <c r="BJ1870" i="1"/>
  <c r="BD1870" i="1"/>
  <c r="AP1870" i="1"/>
  <c r="AO1870" i="1"/>
  <c r="BH1870" i="1" s="1"/>
  <c r="AD1870" i="1" s="1"/>
  <c r="AK1870" i="1"/>
  <c r="AJ1870" i="1"/>
  <c r="AH1870" i="1"/>
  <c r="AG1870" i="1"/>
  <c r="AF1870" i="1"/>
  <c r="AC1870" i="1"/>
  <c r="AB1870" i="1"/>
  <c r="Z1870" i="1"/>
  <c r="O1870" i="1"/>
  <c r="BF1870" i="1" s="1"/>
  <c r="L1870" i="1"/>
  <c r="AL1870" i="1" s="1"/>
  <c r="BW1868" i="1"/>
  <c r="BJ1868" i="1"/>
  <c r="BD1868" i="1"/>
  <c r="AP1868" i="1"/>
  <c r="AX1868" i="1" s="1"/>
  <c r="AO1868" i="1"/>
  <c r="AK1868" i="1"/>
  <c r="AJ1868" i="1"/>
  <c r="AH1868" i="1"/>
  <c r="AG1868" i="1"/>
  <c r="AF1868" i="1"/>
  <c r="AC1868" i="1"/>
  <c r="AB1868" i="1"/>
  <c r="Z1868" i="1"/>
  <c r="O1868" i="1"/>
  <c r="BF1868" i="1" s="1"/>
  <c r="L1868" i="1"/>
  <c r="AL1868" i="1" s="1"/>
  <c r="BW1866" i="1"/>
  <c r="BJ1866" i="1"/>
  <c r="BD1866" i="1"/>
  <c r="AP1866" i="1"/>
  <c r="AX1866" i="1" s="1"/>
  <c r="AO1866" i="1"/>
  <c r="BH1866" i="1" s="1"/>
  <c r="AD1866" i="1" s="1"/>
  <c r="AK1866" i="1"/>
  <c r="AJ1866" i="1"/>
  <c r="AH1866" i="1"/>
  <c r="AG1866" i="1"/>
  <c r="AF1866" i="1"/>
  <c r="AC1866" i="1"/>
  <c r="AB1866" i="1"/>
  <c r="Z1866" i="1"/>
  <c r="O1866" i="1"/>
  <c r="BF1866" i="1" s="1"/>
  <c r="L1866" i="1"/>
  <c r="BW1864" i="1"/>
  <c r="BJ1864" i="1"/>
  <c r="BD1864" i="1"/>
  <c r="AP1864" i="1"/>
  <c r="AO1864" i="1"/>
  <c r="AK1864" i="1"/>
  <c r="AJ1864" i="1"/>
  <c r="AH1864" i="1"/>
  <c r="AG1864" i="1"/>
  <c r="AF1864" i="1"/>
  <c r="AC1864" i="1"/>
  <c r="AB1864" i="1"/>
  <c r="Z1864" i="1"/>
  <c r="O1864" i="1"/>
  <c r="BF1864" i="1" s="1"/>
  <c r="L1864" i="1"/>
  <c r="AL1864" i="1" s="1"/>
  <c r="BW1863" i="1"/>
  <c r="BJ1863" i="1"/>
  <c r="BD1863" i="1"/>
  <c r="AP1863" i="1"/>
  <c r="AX1863" i="1" s="1"/>
  <c r="AO1863" i="1"/>
  <c r="BH1863" i="1" s="1"/>
  <c r="AD1863" i="1" s="1"/>
  <c r="AK1863" i="1"/>
  <c r="AJ1863" i="1"/>
  <c r="AH1863" i="1"/>
  <c r="AG1863" i="1"/>
  <c r="AF1863" i="1"/>
  <c r="AC1863" i="1"/>
  <c r="AB1863" i="1"/>
  <c r="Z1863" i="1"/>
  <c r="O1863" i="1"/>
  <c r="BF1863" i="1" s="1"/>
  <c r="L1863" i="1"/>
  <c r="BW1862" i="1"/>
  <c r="BJ1862" i="1"/>
  <c r="BD1862" i="1"/>
  <c r="AP1862" i="1"/>
  <c r="AX1862" i="1" s="1"/>
  <c r="AO1862" i="1"/>
  <c r="BH1862" i="1" s="1"/>
  <c r="AD1862" i="1" s="1"/>
  <c r="AK1862" i="1"/>
  <c r="AJ1862" i="1"/>
  <c r="AH1862" i="1"/>
  <c r="AG1862" i="1"/>
  <c r="AF1862" i="1"/>
  <c r="AC1862" i="1"/>
  <c r="AB1862" i="1"/>
  <c r="Z1862" i="1"/>
  <c r="O1862" i="1"/>
  <c r="BF1862" i="1" s="1"/>
  <c r="L1862" i="1"/>
  <c r="BW1861" i="1"/>
  <c r="BJ1861" i="1"/>
  <c r="BD1861" i="1"/>
  <c r="AP1861" i="1"/>
  <c r="AO1861" i="1"/>
  <c r="J1861" i="1" s="1"/>
  <c r="AK1861" i="1"/>
  <c r="AJ1861" i="1"/>
  <c r="AH1861" i="1"/>
  <c r="AG1861" i="1"/>
  <c r="AF1861" i="1"/>
  <c r="AC1861" i="1"/>
  <c r="AB1861" i="1"/>
  <c r="Z1861" i="1"/>
  <c r="O1861" i="1"/>
  <c r="BF1861" i="1" s="1"/>
  <c r="L1861" i="1"/>
  <c r="AL1861" i="1" s="1"/>
  <c r="BW1860" i="1"/>
  <c r="BJ1860" i="1"/>
  <c r="BD1860" i="1"/>
  <c r="AP1860" i="1"/>
  <c r="AX1860" i="1" s="1"/>
  <c r="AO1860" i="1"/>
  <c r="BH1860" i="1" s="1"/>
  <c r="AD1860" i="1" s="1"/>
  <c r="AK1860" i="1"/>
  <c r="AJ1860" i="1"/>
  <c r="AH1860" i="1"/>
  <c r="AG1860" i="1"/>
  <c r="AF1860" i="1"/>
  <c r="AC1860" i="1"/>
  <c r="AB1860" i="1"/>
  <c r="Z1860" i="1"/>
  <c r="O1860" i="1"/>
  <c r="BF1860" i="1" s="1"/>
  <c r="L1860" i="1"/>
  <c r="AL1860" i="1" s="1"/>
  <c r="BW1859" i="1"/>
  <c r="BJ1859" i="1"/>
  <c r="BD1859" i="1"/>
  <c r="AP1859" i="1"/>
  <c r="AX1859" i="1" s="1"/>
  <c r="AO1859" i="1"/>
  <c r="BH1859" i="1" s="1"/>
  <c r="AD1859" i="1" s="1"/>
  <c r="AK1859" i="1"/>
  <c r="AJ1859" i="1"/>
  <c r="AH1859" i="1"/>
  <c r="AG1859" i="1"/>
  <c r="AF1859" i="1"/>
  <c r="AC1859" i="1"/>
  <c r="AB1859" i="1"/>
  <c r="Z1859" i="1"/>
  <c r="O1859" i="1"/>
  <c r="BF1859" i="1" s="1"/>
  <c r="L1859" i="1"/>
  <c r="BW1858" i="1"/>
  <c r="BJ1858" i="1"/>
  <c r="BD1858" i="1"/>
  <c r="AP1858" i="1"/>
  <c r="AO1858" i="1"/>
  <c r="AW1858" i="1" s="1"/>
  <c r="AK1858" i="1"/>
  <c r="AJ1858" i="1"/>
  <c r="AH1858" i="1"/>
  <c r="AG1858" i="1"/>
  <c r="AF1858" i="1"/>
  <c r="AC1858" i="1"/>
  <c r="AB1858" i="1"/>
  <c r="Z1858" i="1"/>
  <c r="O1858" i="1"/>
  <c r="BF1858" i="1" s="1"/>
  <c r="L1858" i="1"/>
  <c r="AL1858" i="1" s="1"/>
  <c r="BW1857" i="1"/>
  <c r="BJ1857" i="1"/>
  <c r="BD1857" i="1"/>
  <c r="AP1857" i="1"/>
  <c r="AX1857" i="1" s="1"/>
  <c r="AO1857" i="1"/>
  <c r="BH1857" i="1" s="1"/>
  <c r="AD1857" i="1" s="1"/>
  <c r="AK1857" i="1"/>
  <c r="AJ1857" i="1"/>
  <c r="AH1857" i="1"/>
  <c r="AG1857" i="1"/>
  <c r="AF1857" i="1"/>
  <c r="AC1857" i="1"/>
  <c r="AB1857" i="1"/>
  <c r="Z1857" i="1"/>
  <c r="O1857" i="1"/>
  <c r="BF1857" i="1" s="1"/>
  <c r="L1857" i="1"/>
  <c r="BW1856" i="1"/>
  <c r="BJ1856" i="1"/>
  <c r="BD1856" i="1"/>
  <c r="AP1856" i="1"/>
  <c r="AX1856" i="1" s="1"/>
  <c r="AO1856" i="1"/>
  <c r="BH1856" i="1" s="1"/>
  <c r="AD1856" i="1" s="1"/>
  <c r="AK1856" i="1"/>
  <c r="AJ1856" i="1"/>
  <c r="AH1856" i="1"/>
  <c r="AG1856" i="1"/>
  <c r="AF1856" i="1"/>
  <c r="AC1856" i="1"/>
  <c r="AB1856" i="1"/>
  <c r="Z1856" i="1"/>
  <c r="O1856" i="1"/>
  <c r="BF1856" i="1" s="1"/>
  <c r="L1856" i="1"/>
  <c r="BW1855" i="1"/>
  <c r="BJ1855" i="1"/>
  <c r="BD1855" i="1"/>
  <c r="AP1855" i="1"/>
  <c r="AO1855" i="1"/>
  <c r="BH1855" i="1" s="1"/>
  <c r="AD1855" i="1" s="1"/>
  <c r="AK1855" i="1"/>
  <c r="AJ1855" i="1"/>
  <c r="AH1855" i="1"/>
  <c r="AG1855" i="1"/>
  <c r="AF1855" i="1"/>
  <c r="AC1855" i="1"/>
  <c r="AB1855" i="1"/>
  <c r="Z1855" i="1"/>
  <c r="O1855" i="1"/>
  <c r="BF1855" i="1" s="1"/>
  <c r="L1855" i="1"/>
  <c r="AL1855" i="1" s="1"/>
  <c r="BW1854" i="1"/>
  <c r="BJ1854" i="1"/>
  <c r="BD1854" i="1"/>
  <c r="AP1854" i="1"/>
  <c r="AX1854" i="1" s="1"/>
  <c r="AO1854" i="1"/>
  <c r="BH1854" i="1" s="1"/>
  <c r="AD1854" i="1" s="1"/>
  <c r="AK1854" i="1"/>
  <c r="AJ1854" i="1"/>
  <c r="AH1854" i="1"/>
  <c r="AG1854" i="1"/>
  <c r="AF1854" i="1"/>
  <c r="AC1854" i="1"/>
  <c r="AB1854" i="1"/>
  <c r="Z1854" i="1"/>
  <c r="O1854" i="1"/>
  <c r="BF1854" i="1" s="1"/>
  <c r="L1854" i="1"/>
  <c r="AL1854" i="1" s="1"/>
  <c r="BW1853" i="1"/>
  <c r="BJ1853" i="1"/>
  <c r="BD1853" i="1"/>
  <c r="AP1853" i="1"/>
  <c r="AX1853" i="1" s="1"/>
  <c r="AO1853" i="1"/>
  <c r="BH1853" i="1" s="1"/>
  <c r="AD1853" i="1" s="1"/>
  <c r="AK1853" i="1"/>
  <c r="AJ1853" i="1"/>
  <c r="AH1853" i="1"/>
  <c r="AG1853" i="1"/>
  <c r="AF1853" i="1"/>
  <c r="AC1853" i="1"/>
  <c r="AB1853" i="1"/>
  <c r="Z1853" i="1"/>
  <c r="O1853" i="1"/>
  <c r="BF1853" i="1" s="1"/>
  <c r="L1853" i="1"/>
  <c r="BW1852" i="1"/>
  <c r="BJ1852" i="1"/>
  <c r="BD1852" i="1"/>
  <c r="AP1852" i="1"/>
  <c r="AO1852" i="1"/>
  <c r="BH1852" i="1" s="1"/>
  <c r="AD1852" i="1" s="1"/>
  <c r="AK1852" i="1"/>
  <c r="AJ1852" i="1"/>
  <c r="AH1852" i="1"/>
  <c r="AG1852" i="1"/>
  <c r="AF1852" i="1"/>
  <c r="AC1852" i="1"/>
  <c r="AB1852" i="1"/>
  <c r="Z1852" i="1"/>
  <c r="O1852" i="1"/>
  <c r="BF1852" i="1" s="1"/>
  <c r="L1852" i="1"/>
  <c r="AL1852" i="1" s="1"/>
  <c r="BW1851" i="1"/>
  <c r="BJ1851" i="1"/>
  <c r="BD1851" i="1"/>
  <c r="AP1851" i="1"/>
  <c r="AX1851" i="1" s="1"/>
  <c r="AO1851" i="1"/>
  <c r="BH1851" i="1" s="1"/>
  <c r="AD1851" i="1" s="1"/>
  <c r="AK1851" i="1"/>
  <c r="AJ1851" i="1"/>
  <c r="AH1851" i="1"/>
  <c r="AG1851" i="1"/>
  <c r="AF1851" i="1"/>
  <c r="AC1851" i="1"/>
  <c r="AB1851" i="1"/>
  <c r="Z1851" i="1"/>
  <c r="O1851" i="1"/>
  <c r="BF1851" i="1" s="1"/>
  <c r="L1851" i="1"/>
  <c r="BW1850" i="1"/>
  <c r="BJ1850" i="1"/>
  <c r="BD1850" i="1"/>
  <c r="AP1850" i="1"/>
  <c r="AX1850" i="1" s="1"/>
  <c r="AO1850" i="1"/>
  <c r="BH1850" i="1" s="1"/>
  <c r="AD1850" i="1" s="1"/>
  <c r="AK1850" i="1"/>
  <c r="AJ1850" i="1"/>
  <c r="AH1850" i="1"/>
  <c r="AG1850" i="1"/>
  <c r="AF1850" i="1"/>
  <c r="AC1850" i="1"/>
  <c r="AB1850" i="1"/>
  <c r="Z1850" i="1"/>
  <c r="O1850" i="1"/>
  <c r="BF1850" i="1" s="1"/>
  <c r="L1850" i="1"/>
  <c r="BW1849" i="1"/>
  <c r="BJ1849" i="1"/>
  <c r="BD1849" i="1"/>
  <c r="AP1849" i="1"/>
  <c r="AO1849" i="1"/>
  <c r="BH1849" i="1" s="1"/>
  <c r="AD1849" i="1" s="1"/>
  <c r="AK1849" i="1"/>
  <c r="AJ1849" i="1"/>
  <c r="AH1849" i="1"/>
  <c r="AG1849" i="1"/>
  <c r="AF1849" i="1"/>
  <c r="AC1849" i="1"/>
  <c r="AB1849" i="1"/>
  <c r="Z1849" i="1"/>
  <c r="O1849" i="1"/>
  <c r="BF1849" i="1" s="1"/>
  <c r="L1849" i="1"/>
  <c r="AL1849" i="1" s="1"/>
  <c r="BW1848" i="1"/>
  <c r="BJ1848" i="1"/>
  <c r="BD1848" i="1"/>
  <c r="AP1848" i="1"/>
  <c r="AX1848" i="1" s="1"/>
  <c r="AO1848" i="1"/>
  <c r="BH1848" i="1" s="1"/>
  <c r="AD1848" i="1" s="1"/>
  <c r="AK1848" i="1"/>
  <c r="AJ1848" i="1"/>
  <c r="AH1848" i="1"/>
  <c r="AG1848" i="1"/>
  <c r="AF1848" i="1"/>
  <c r="AC1848" i="1"/>
  <c r="AB1848" i="1"/>
  <c r="Z1848" i="1"/>
  <c r="O1848" i="1"/>
  <c r="BF1848" i="1" s="1"/>
  <c r="L1848" i="1"/>
  <c r="AL1848" i="1" s="1"/>
  <c r="BW1847" i="1"/>
  <c r="BJ1847" i="1"/>
  <c r="BD1847" i="1"/>
  <c r="AP1847" i="1"/>
  <c r="AX1847" i="1" s="1"/>
  <c r="AO1847" i="1"/>
  <c r="BH1847" i="1" s="1"/>
  <c r="AD1847" i="1" s="1"/>
  <c r="AK1847" i="1"/>
  <c r="AJ1847" i="1"/>
  <c r="AH1847" i="1"/>
  <c r="AG1847" i="1"/>
  <c r="AF1847" i="1"/>
  <c r="AC1847" i="1"/>
  <c r="AB1847" i="1"/>
  <c r="Z1847" i="1"/>
  <c r="O1847" i="1"/>
  <c r="BF1847" i="1" s="1"/>
  <c r="L1847" i="1"/>
  <c r="BW1846" i="1"/>
  <c r="BJ1846" i="1"/>
  <c r="BD1846" i="1"/>
  <c r="AP1846" i="1"/>
  <c r="AO1846" i="1"/>
  <c r="AW1846" i="1" s="1"/>
  <c r="AK1846" i="1"/>
  <c r="AJ1846" i="1"/>
  <c r="AH1846" i="1"/>
  <c r="AG1846" i="1"/>
  <c r="AF1846" i="1"/>
  <c r="AC1846" i="1"/>
  <c r="AB1846" i="1"/>
  <c r="Z1846" i="1"/>
  <c r="O1846" i="1"/>
  <c r="BF1846" i="1" s="1"/>
  <c r="L1846" i="1"/>
  <c r="AL1846" i="1" s="1"/>
  <c r="BW1845" i="1"/>
  <c r="BJ1845" i="1"/>
  <c r="BD1845" i="1"/>
  <c r="AP1845" i="1"/>
  <c r="AX1845" i="1" s="1"/>
  <c r="AO1845" i="1"/>
  <c r="J1845" i="1" s="1"/>
  <c r="AK1845" i="1"/>
  <c r="AJ1845" i="1"/>
  <c r="AH1845" i="1"/>
  <c r="AG1845" i="1"/>
  <c r="AF1845" i="1"/>
  <c r="AC1845" i="1"/>
  <c r="AB1845" i="1"/>
  <c r="Z1845" i="1"/>
  <c r="O1845" i="1"/>
  <c r="BF1845" i="1" s="1"/>
  <c r="L1845" i="1"/>
  <c r="AL1845" i="1" s="1"/>
  <c r="BW1844" i="1"/>
  <c r="BJ1844" i="1"/>
  <c r="BD1844" i="1"/>
  <c r="AP1844" i="1"/>
  <c r="AX1844" i="1" s="1"/>
  <c r="AO1844" i="1"/>
  <c r="BH1844" i="1" s="1"/>
  <c r="AD1844" i="1" s="1"/>
  <c r="AK1844" i="1"/>
  <c r="AJ1844" i="1"/>
  <c r="AH1844" i="1"/>
  <c r="AG1844" i="1"/>
  <c r="AF1844" i="1"/>
  <c r="AC1844" i="1"/>
  <c r="AB1844" i="1"/>
  <c r="Z1844" i="1"/>
  <c r="O1844" i="1"/>
  <c r="BF1844" i="1" s="1"/>
  <c r="L1844" i="1"/>
  <c r="BW1843" i="1"/>
  <c r="BJ1843" i="1"/>
  <c r="BD1843" i="1"/>
  <c r="AP1843" i="1"/>
  <c r="AO1843" i="1"/>
  <c r="BH1843" i="1" s="1"/>
  <c r="AD1843" i="1" s="1"/>
  <c r="AK1843" i="1"/>
  <c r="AJ1843" i="1"/>
  <c r="AH1843" i="1"/>
  <c r="AG1843" i="1"/>
  <c r="AF1843" i="1"/>
  <c r="AC1843" i="1"/>
  <c r="AB1843" i="1"/>
  <c r="Z1843" i="1"/>
  <c r="O1843" i="1"/>
  <c r="BF1843" i="1" s="1"/>
  <c r="L1843" i="1"/>
  <c r="AL1843" i="1" s="1"/>
  <c r="BW1842" i="1"/>
  <c r="BJ1842" i="1"/>
  <c r="BD1842" i="1"/>
  <c r="AP1842" i="1"/>
  <c r="AX1842" i="1" s="1"/>
  <c r="AO1842" i="1"/>
  <c r="BH1842" i="1" s="1"/>
  <c r="AD1842" i="1" s="1"/>
  <c r="AK1842" i="1"/>
  <c r="AJ1842" i="1"/>
  <c r="AH1842" i="1"/>
  <c r="AG1842" i="1"/>
  <c r="AF1842" i="1"/>
  <c r="AC1842" i="1"/>
  <c r="AB1842" i="1"/>
  <c r="Z1842" i="1"/>
  <c r="O1842" i="1"/>
  <c r="BF1842" i="1" s="1"/>
  <c r="L1842" i="1"/>
  <c r="BW1841" i="1"/>
  <c r="BJ1841" i="1"/>
  <c r="BD1841" i="1"/>
  <c r="AP1841" i="1"/>
  <c r="AX1841" i="1" s="1"/>
  <c r="AO1841" i="1"/>
  <c r="BH1841" i="1" s="1"/>
  <c r="AD1841" i="1" s="1"/>
  <c r="AK1841" i="1"/>
  <c r="AJ1841" i="1"/>
  <c r="AH1841" i="1"/>
  <c r="AG1841" i="1"/>
  <c r="AF1841" i="1"/>
  <c r="AC1841" i="1"/>
  <c r="AB1841" i="1"/>
  <c r="Z1841" i="1"/>
  <c r="O1841" i="1"/>
  <c r="BF1841" i="1" s="1"/>
  <c r="L1841" i="1"/>
  <c r="BW1840" i="1"/>
  <c r="BJ1840" i="1"/>
  <c r="BD1840" i="1"/>
  <c r="AP1840" i="1"/>
  <c r="AO1840" i="1"/>
  <c r="AW1840" i="1" s="1"/>
  <c r="AK1840" i="1"/>
  <c r="AJ1840" i="1"/>
  <c r="AH1840" i="1"/>
  <c r="AG1840" i="1"/>
  <c r="AF1840" i="1"/>
  <c r="AC1840" i="1"/>
  <c r="AB1840" i="1"/>
  <c r="Z1840" i="1"/>
  <c r="O1840" i="1"/>
  <c r="BF1840" i="1" s="1"/>
  <c r="L1840" i="1"/>
  <c r="AL1840" i="1" s="1"/>
  <c r="BW1839" i="1"/>
  <c r="BJ1839" i="1"/>
  <c r="BD1839" i="1"/>
  <c r="AP1839" i="1"/>
  <c r="AX1839" i="1" s="1"/>
  <c r="AO1839" i="1"/>
  <c r="AK1839" i="1"/>
  <c r="AJ1839" i="1"/>
  <c r="AH1839" i="1"/>
  <c r="AG1839" i="1"/>
  <c r="AF1839" i="1"/>
  <c r="AC1839" i="1"/>
  <c r="AB1839" i="1"/>
  <c r="Z1839" i="1"/>
  <c r="O1839" i="1"/>
  <c r="BF1839" i="1" s="1"/>
  <c r="L1839" i="1"/>
  <c r="BW1838" i="1"/>
  <c r="BJ1838" i="1"/>
  <c r="BD1838" i="1"/>
  <c r="AP1838" i="1"/>
  <c r="AX1838" i="1" s="1"/>
  <c r="AO1838" i="1"/>
  <c r="BH1838" i="1" s="1"/>
  <c r="AD1838" i="1" s="1"/>
  <c r="AK1838" i="1"/>
  <c r="AJ1838" i="1"/>
  <c r="AH1838" i="1"/>
  <c r="AG1838" i="1"/>
  <c r="AF1838" i="1"/>
  <c r="AC1838" i="1"/>
  <c r="AB1838" i="1"/>
  <c r="Z1838" i="1"/>
  <c r="O1838" i="1"/>
  <c r="BF1838" i="1" s="1"/>
  <c r="L1838" i="1"/>
  <c r="BW1837" i="1"/>
  <c r="BJ1837" i="1"/>
  <c r="BD1837" i="1"/>
  <c r="AP1837" i="1"/>
  <c r="AO1837" i="1"/>
  <c r="BH1837" i="1" s="1"/>
  <c r="AD1837" i="1" s="1"/>
  <c r="AK1837" i="1"/>
  <c r="AJ1837" i="1"/>
  <c r="AH1837" i="1"/>
  <c r="AG1837" i="1"/>
  <c r="AF1837" i="1"/>
  <c r="AC1837" i="1"/>
  <c r="AB1837" i="1"/>
  <c r="Z1837" i="1"/>
  <c r="O1837" i="1"/>
  <c r="BF1837" i="1" s="1"/>
  <c r="L1837" i="1"/>
  <c r="AL1837" i="1" s="1"/>
  <c r="BW1836" i="1"/>
  <c r="BJ1836" i="1"/>
  <c r="BD1836" i="1"/>
  <c r="AP1836" i="1"/>
  <c r="AX1836" i="1" s="1"/>
  <c r="AO1836" i="1"/>
  <c r="BH1836" i="1" s="1"/>
  <c r="AD1836" i="1" s="1"/>
  <c r="AK1836" i="1"/>
  <c r="AJ1836" i="1"/>
  <c r="AH1836" i="1"/>
  <c r="AG1836" i="1"/>
  <c r="AF1836" i="1"/>
  <c r="AC1836" i="1"/>
  <c r="AB1836" i="1"/>
  <c r="Z1836" i="1"/>
  <c r="O1836" i="1"/>
  <c r="BF1836" i="1" s="1"/>
  <c r="L1836" i="1"/>
  <c r="BW1835" i="1"/>
  <c r="BJ1835" i="1"/>
  <c r="BD1835" i="1"/>
  <c r="AP1835" i="1"/>
  <c r="K1835" i="1" s="1"/>
  <c r="AO1835" i="1"/>
  <c r="BH1835" i="1" s="1"/>
  <c r="AD1835" i="1" s="1"/>
  <c r="AK1835" i="1"/>
  <c r="AJ1835" i="1"/>
  <c r="AH1835" i="1"/>
  <c r="AG1835" i="1"/>
  <c r="AF1835" i="1"/>
  <c r="AC1835" i="1"/>
  <c r="AB1835" i="1"/>
  <c r="Z1835" i="1"/>
  <c r="O1835" i="1"/>
  <c r="BF1835" i="1" s="1"/>
  <c r="L1835" i="1"/>
  <c r="BW1834" i="1"/>
  <c r="BJ1834" i="1"/>
  <c r="BD1834" i="1"/>
  <c r="AP1834" i="1"/>
  <c r="AO1834" i="1"/>
  <c r="BH1834" i="1" s="1"/>
  <c r="AD1834" i="1" s="1"/>
  <c r="AK1834" i="1"/>
  <c r="AJ1834" i="1"/>
  <c r="AH1834" i="1"/>
  <c r="AG1834" i="1"/>
  <c r="AF1834" i="1"/>
  <c r="AC1834" i="1"/>
  <c r="AB1834" i="1"/>
  <c r="Z1834" i="1"/>
  <c r="O1834" i="1"/>
  <c r="BF1834" i="1" s="1"/>
  <c r="L1834" i="1"/>
  <c r="AL1834" i="1" s="1"/>
  <c r="BW1833" i="1"/>
  <c r="BJ1833" i="1"/>
  <c r="BD1833" i="1"/>
  <c r="AP1833" i="1"/>
  <c r="AX1833" i="1" s="1"/>
  <c r="AO1833" i="1"/>
  <c r="BH1833" i="1" s="1"/>
  <c r="AD1833" i="1" s="1"/>
  <c r="AK1833" i="1"/>
  <c r="AJ1833" i="1"/>
  <c r="AH1833" i="1"/>
  <c r="AG1833" i="1"/>
  <c r="AF1833" i="1"/>
  <c r="AC1833" i="1"/>
  <c r="AB1833" i="1"/>
  <c r="Z1833" i="1"/>
  <c r="O1833" i="1"/>
  <c r="BF1833" i="1" s="1"/>
  <c r="L1833" i="1"/>
  <c r="AL1833" i="1" s="1"/>
  <c r="BW1832" i="1"/>
  <c r="BJ1832" i="1"/>
  <c r="BD1832" i="1"/>
  <c r="AP1832" i="1"/>
  <c r="AX1832" i="1" s="1"/>
  <c r="AO1832" i="1"/>
  <c r="BH1832" i="1" s="1"/>
  <c r="AD1832" i="1" s="1"/>
  <c r="AK1832" i="1"/>
  <c r="AJ1832" i="1"/>
  <c r="AH1832" i="1"/>
  <c r="AG1832" i="1"/>
  <c r="AF1832" i="1"/>
  <c r="AC1832" i="1"/>
  <c r="AB1832" i="1"/>
  <c r="Z1832" i="1"/>
  <c r="O1832" i="1"/>
  <c r="BF1832" i="1" s="1"/>
  <c r="L1832" i="1"/>
  <c r="BW1831" i="1"/>
  <c r="BJ1831" i="1"/>
  <c r="BD1831" i="1"/>
  <c r="AP1831" i="1"/>
  <c r="AO1831" i="1"/>
  <c r="BH1831" i="1" s="1"/>
  <c r="AD1831" i="1" s="1"/>
  <c r="AK1831" i="1"/>
  <c r="AJ1831" i="1"/>
  <c r="AH1831" i="1"/>
  <c r="AG1831" i="1"/>
  <c r="AF1831" i="1"/>
  <c r="AC1831" i="1"/>
  <c r="AB1831" i="1"/>
  <c r="Z1831" i="1"/>
  <c r="O1831" i="1"/>
  <c r="BF1831" i="1" s="1"/>
  <c r="L1831" i="1"/>
  <c r="AL1831" i="1" s="1"/>
  <c r="BW1830" i="1"/>
  <c r="BJ1830" i="1"/>
  <c r="BD1830" i="1"/>
  <c r="AP1830" i="1"/>
  <c r="AX1830" i="1" s="1"/>
  <c r="AO1830" i="1"/>
  <c r="BH1830" i="1" s="1"/>
  <c r="AD1830" i="1" s="1"/>
  <c r="AK1830" i="1"/>
  <c r="AJ1830" i="1"/>
  <c r="AH1830" i="1"/>
  <c r="AG1830" i="1"/>
  <c r="AF1830" i="1"/>
  <c r="AC1830" i="1"/>
  <c r="AB1830" i="1"/>
  <c r="Z1830" i="1"/>
  <c r="O1830" i="1"/>
  <c r="L1830" i="1"/>
  <c r="AL1830" i="1" s="1"/>
  <c r="BW1829" i="1"/>
  <c r="BJ1829" i="1"/>
  <c r="BD1829" i="1"/>
  <c r="AP1829" i="1"/>
  <c r="AX1829" i="1" s="1"/>
  <c r="AO1829" i="1"/>
  <c r="BH1829" i="1" s="1"/>
  <c r="AD1829" i="1" s="1"/>
  <c r="AK1829" i="1"/>
  <c r="AJ1829" i="1"/>
  <c r="AH1829" i="1"/>
  <c r="AG1829" i="1"/>
  <c r="AF1829" i="1"/>
  <c r="AC1829" i="1"/>
  <c r="AB1829" i="1"/>
  <c r="Z1829" i="1"/>
  <c r="O1829" i="1"/>
  <c r="BF1829" i="1" s="1"/>
  <c r="L1829" i="1"/>
  <c r="AL1829" i="1" s="1"/>
  <c r="BW1828" i="1"/>
  <c r="BJ1828" i="1"/>
  <c r="BD1828" i="1"/>
  <c r="AP1828" i="1"/>
  <c r="AO1828" i="1"/>
  <c r="AW1828" i="1" s="1"/>
  <c r="AK1828" i="1"/>
  <c r="AJ1828" i="1"/>
  <c r="AH1828" i="1"/>
  <c r="AG1828" i="1"/>
  <c r="AF1828" i="1"/>
  <c r="AC1828" i="1"/>
  <c r="AB1828" i="1"/>
  <c r="Z1828" i="1"/>
  <c r="O1828" i="1"/>
  <c r="BF1828" i="1" s="1"/>
  <c r="L1828" i="1"/>
  <c r="AL1828" i="1" s="1"/>
  <c r="BW1827" i="1"/>
  <c r="BJ1827" i="1"/>
  <c r="BD1827" i="1"/>
  <c r="AP1827" i="1"/>
  <c r="AX1827" i="1" s="1"/>
  <c r="AO1827" i="1"/>
  <c r="BH1827" i="1" s="1"/>
  <c r="AD1827" i="1" s="1"/>
  <c r="AK1827" i="1"/>
  <c r="AJ1827" i="1"/>
  <c r="AH1827" i="1"/>
  <c r="AG1827" i="1"/>
  <c r="AF1827" i="1"/>
  <c r="AC1827" i="1"/>
  <c r="AB1827" i="1"/>
  <c r="Z1827" i="1"/>
  <c r="O1827" i="1"/>
  <c r="BF1827" i="1" s="1"/>
  <c r="L1827" i="1"/>
  <c r="AL1827" i="1" s="1"/>
  <c r="BW1826" i="1"/>
  <c r="BJ1826" i="1"/>
  <c r="BD1826" i="1"/>
  <c r="AP1826" i="1"/>
  <c r="AX1826" i="1" s="1"/>
  <c r="AO1826" i="1"/>
  <c r="BH1826" i="1" s="1"/>
  <c r="AD1826" i="1" s="1"/>
  <c r="AK1826" i="1"/>
  <c r="AJ1826" i="1"/>
  <c r="AH1826" i="1"/>
  <c r="AG1826" i="1"/>
  <c r="AF1826" i="1"/>
  <c r="AC1826" i="1"/>
  <c r="AB1826" i="1"/>
  <c r="Z1826" i="1"/>
  <c r="O1826" i="1"/>
  <c r="BF1826" i="1" s="1"/>
  <c r="L1826" i="1"/>
  <c r="BW1825" i="1"/>
  <c r="BJ1825" i="1"/>
  <c r="BD1825" i="1"/>
  <c r="AP1825" i="1"/>
  <c r="AO1825" i="1"/>
  <c r="AW1825" i="1" s="1"/>
  <c r="AK1825" i="1"/>
  <c r="AJ1825" i="1"/>
  <c r="AH1825" i="1"/>
  <c r="AG1825" i="1"/>
  <c r="AF1825" i="1"/>
  <c r="AC1825" i="1"/>
  <c r="AB1825" i="1"/>
  <c r="Z1825" i="1"/>
  <c r="O1825" i="1"/>
  <c r="BF1825" i="1" s="1"/>
  <c r="L1825" i="1"/>
  <c r="AL1825" i="1" s="1"/>
  <c r="BW1824" i="1"/>
  <c r="BJ1824" i="1"/>
  <c r="BD1824" i="1"/>
  <c r="AP1824" i="1"/>
  <c r="AX1824" i="1" s="1"/>
  <c r="AO1824" i="1"/>
  <c r="BH1824" i="1" s="1"/>
  <c r="AD1824" i="1" s="1"/>
  <c r="AK1824" i="1"/>
  <c r="AJ1824" i="1"/>
  <c r="AH1824" i="1"/>
  <c r="AG1824" i="1"/>
  <c r="AF1824" i="1"/>
  <c r="AC1824" i="1"/>
  <c r="AB1824" i="1"/>
  <c r="Z1824" i="1"/>
  <c r="O1824" i="1"/>
  <c r="BF1824" i="1" s="1"/>
  <c r="L1824" i="1"/>
  <c r="BW1823" i="1"/>
  <c r="BJ1823" i="1"/>
  <c r="BD1823" i="1"/>
  <c r="AP1823" i="1"/>
  <c r="AX1823" i="1" s="1"/>
  <c r="AO1823" i="1"/>
  <c r="BH1823" i="1" s="1"/>
  <c r="AD1823" i="1" s="1"/>
  <c r="AK1823" i="1"/>
  <c r="AJ1823" i="1"/>
  <c r="AH1823" i="1"/>
  <c r="AG1823" i="1"/>
  <c r="AF1823" i="1"/>
  <c r="AC1823" i="1"/>
  <c r="AB1823" i="1"/>
  <c r="Z1823" i="1"/>
  <c r="O1823" i="1"/>
  <c r="BF1823" i="1" s="1"/>
  <c r="L1823" i="1"/>
  <c r="BW1822" i="1"/>
  <c r="BJ1822" i="1"/>
  <c r="BD1822" i="1"/>
  <c r="AP1822" i="1"/>
  <c r="AO1822" i="1"/>
  <c r="J1822" i="1" s="1"/>
  <c r="AK1822" i="1"/>
  <c r="AJ1822" i="1"/>
  <c r="AH1822" i="1"/>
  <c r="AG1822" i="1"/>
  <c r="AF1822" i="1"/>
  <c r="AC1822" i="1"/>
  <c r="AB1822" i="1"/>
  <c r="Z1822" i="1"/>
  <c r="O1822" i="1"/>
  <c r="BF1822" i="1" s="1"/>
  <c r="L1822" i="1"/>
  <c r="BW1821" i="1"/>
  <c r="BJ1821" i="1"/>
  <c r="BD1821" i="1"/>
  <c r="AP1821" i="1"/>
  <c r="AX1821" i="1" s="1"/>
  <c r="AO1821" i="1"/>
  <c r="BH1821" i="1" s="1"/>
  <c r="AD1821" i="1" s="1"/>
  <c r="AK1821" i="1"/>
  <c r="AJ1821" i="1"/>
  <c r="AH1821" i="1"/>
  <c r="AG1821" i="1"/>
  <c r="AF1821" i="1"/>
  <c r="AC1821" i="1"/>
  <c r="AB1821" i="1"/>
  <c r="Z1821" i="1"/>
  <c r="O1821" i="1"/>
  <c r="BF1821" i="1" s="1"/>
  <c r="L1821" i="1"/>
  <c r="AL1821" i="1" s="1"/>
  <c r="BW1820" i="1"/>
  <c r="BJ1820" i="1"/>
  <c r="BD1820" i="1"/>
  <c r="AP1820" i="1"/>
  <c r="AX1820" i="1" s="1"/>
  <c r="AO1820" i="1"/>
  <c r="BH1820" i="1" s="1"/>
  <c r="AD1820" i="1" s="1"/>
  <c r="AK1820" i="1"/>
  <c r="AJ1820" i="1"/>
  <c r="AH1820" i="1"/>
  <c r="AG1820" i="1"/>
  <c r="AF1820" i="1"/>
  <c r="AC1820" i="1"/>
  <c r="AB1820" i="1"/>
  <c r="Z1820" i="1"/>
  <c r="O1820" i="1"/>
  <c r="BF1820" i="1" s="1"/>
  <c r="L1820" i="1"/>
  <c r="BW1819" i="1"/>
  <c r="BJ1819" i="1"/>
  <c r="BD1819" i="1"/>
  <c r="AP1819" i="1"/>
  <c r="AO1819" i="1"/>
  <c r="BH1819" i="1" s="1"/>
  <c r="AD1819" i="1" s="1"/>
  <c r="AK1819" i="1"/>
  <c r="AJ1819" i="1"/>
  <c r="AH1819" i="1"/>
  <c r="AG1819" i="1"/>
  <c r="AF1819" i="1"/>
  <c r="AC1819" i="1"/>
  <c r="AB1819" i="1"/>
  <c r="Z1819" i="1"/>
  <c r="O1819" i="1"/>
  <c r="BF1819" i="1" s="1"/>
  <c r="L1819" i="1"/>
  <c r="BW1817" i="1"/>
  <c r="BJ1817" i="1"/>
  <c r="Z1817" i="1" s="1"/>
  <c r="BD1817" i="1"/>
  <c r="AP1817" i="1"/>
  <c r="AO1817" i="1"/>
  <c r="AW1817" i="1" s="1"/>
  <c r="AK1817" i="1"/>
  <c r="AJ1817" i="1"/>
  <c r="AH1817" i="1"/>
  <c r="AG1817" i="1"/>
  <c r="AF1817" i="1"/>
  <c r="AE1817" i="1"/>
  <c r="AD1817" i="1"/>
  <c r="AC1817" i="1"/>
  <c r="AB1817" i="1"/>
  <c r="O1817" i="1"/>
  <c r="BF1817" i="1" s="1"/>
  <c r="L1817" i="1"/>
  <c r="AL1817" i="1" s="1"/>
  <c r="BW1814" i="1"/>
  <c r="BJ1814" i="1"/>
  <c r="BD1814" i="1"/>
  <c r="AP1814" i="1"/>
  <c r="AX1814" i="1" s="1"/>
  <c r="AO1814" i="1"/>
  <c r="BH1814" i="1" s="1"/>
  <c r="AD1814" i="1" s="1"/>
  <c r="AK1814" i="1"/>
  <c r="AJ1814" i="1"/>
  <c r="AH1814" i="1"/>
  <c r="AG1814" i="1"/>
  <c r="AF1814" i="1"/>
  <c r="AC1814" i="1"/>
  <c r="AB1814" i="1"/>
  <c r="Z1814" i="1"/>
  <c r="O1814" i="1"/>
  <c r="BF1814" i="1" s="1"/>
  <c r="L1814" i="1"/>
  <c r="BW1811" i="1"/>
  <c r="BJ1811" i="1"/>
  <c r="BD1811" i="1"/>
  <c r="AP1811" i="1"/>
  <c r="AX1811" i="1" s="1"/>
  <c r="AO1811" i="1"/>
  <c r="BH1811" i="1" s="1"/>
  <c r="AD1811" i="1" s="1"/>
  <c r="AK1811" i="1"/>
  <c r="AJ1811" i="1"/>
  <c r="AH1811" i="1"/>
  <c r="AG1811" i="1"/>
  <c r="AF1811" i="1"/>
  <c r="AC1811" i="1"/>
  <c r="AB1811" i="1"/>
  <c r="Z1811" i="1"/>
  <c r="O1811" i="1"/>
  <c r="BF1811" i="1" s="1"/>
  <c r="L1811" i="1"/>
  <c r="BW1808" i="1"/>
  <c r="BJ1808" i="1"/>
  <c r="BD1808" i="1"/>
  <c r="AP1808" i="1"/>
  <c r="AO1808" i="1"/>
  <c r="BH1808" i="1" s="1"/>
  <c r="AD1808" i="1" s="1"/>
  <c r="AK1808" i="1"/>
  <c r="AJ1808" i="1"/>
  <c r="AH1808" i="1"/>
  <c r="AG1808" i="1"/>
  <c r="AF1808" i="1"/>
  <c r="AC1808" i="1"/>
  <c r="AB1808" i="1"/>
  <c r="Z1808" i="1"/>
  <c r="O1808" i="1"/>
  <c r="BF1808" i="1" s="1"/>
  <c r="L1808" i="1"/>
  <c r="AL1808" i="1" s="1"/>
  <c r="BW1805" i="1"/>
  <c r="BJ1805" i="1"/>
  <c r="BD1805" i="1"/>
  <c r="AP1805" i="1"/>
  <c r="AO1805" i="1"/>
  <c r="BH1805" i="1" s="1"/>
  <c r="AD1805" i="1" s="1"/>
  <c r="AK1805" i="1"/>
  <c r="AJ1805" i="1"/>
  <c r="AH1805" i="1"/>
  <c r="AG1805" i="1"/>
  <c r="AF1805" i="1"/>
  <c r="AC1805" i="1"/>
  <c r="AB1805" i="1"/>
  <c r="Z1805" i="1"/>
  <c r="O1805" i="1"/>
  <c r="BF1805" i="1" s="1"/>
  <c r="L1805" i="1"/>
  <c r="K1805" i="1"/>
  <c r="BW1802" i="1"/>
  <c r="BJ1802" i="1"/>
  <c r="BD1802" i="1"/>
  <c r="AP1802" i="1"/>
  <c r="AX1802" i="1" s="1"/>
  <c r="AO1802" i="1"/>
  <c r="BH1802" i="1" s="1"/>
  <c r="AD1802" i="1" s="1"/>
  <c r="AK1802" i="1"/>
  <c r="AJ1802" i="1"/>
  <c r="AH1802" i="1"/>
  <c r="AG1802" i="1"/>
  <c r="AF1802" i="1"/>
  <c r="AC1802" i="1"/>
  <c r="AB1802" i="1"/>
  <c r="Z1802" i="1"/>
  <c r="O1802" i="1"/>
  <c r="BF1802" i="1" s="1"/>
  <c r="L1802" i="1"/>
  <c r="BW1799" i="1"/>
  <c r="BJ1799" i="1"/>
  <c r="BD1799" i="1"/>
  <c r="AP1799" i="1"/>
  <c r="AO1799" i="1"/>
  <c r="BH1799" i="1" s="1"/>
  <c r="AD1799" i="1" s="1"/>
  <c r="AK1799" i="1"/>
  <c r="AJ1799" i="1"/>
  <c r="AH1799" i="1"/>
  <c r="AG1799" i="1"/>
  <c r="AF1799" i="1"/>
  <c r="AC1799" i="1"/>
  <c r="AB1799" i="1"/>
  <c r="Z1799" i="1"/>
  <c r="O1799" i="1"/>
  <c r="BF1799" i="1" s="1"/>
  <c r="L1799" i="1"/>
  <c r="AL1799" i="1" s="1"/>
  <c r="BW1783" i="1"/>
  <c r="BJ1783" i="1"/>
  <c r="BD1783" i="1"/>
  <c r="AP1783" i="1"/>
  <c r="AX1783" i="1" s="1"/>
  <c r="AO1783" i="1"/>
  <c r="BH1783" i="1" s="1"/>
  <c r="AD1783" i="1" s="1"/>
  <c r="AK1783" i="1"/>
  <c r="AJ1783" i="1"/>
  <c r="AH1783" i="1"/>
  <c r="AG1783" i="1"/>
  <c r="AF1783" i="1"/>
  <c r="AC1783" i="1"/>
  <c r="AB1783" i="1"/>
  <c r="Z1783" i="1"/>
  <c r="O1783" i="1"/>
  <c r="L1783" i="1"/>
  <c r="K1783" i="1"/>
  <c r="BW1781" i="1"/>
  <c r="BJ1781" i="1"/>
  <c r="Z1781" i="1" s="1"/>
  <c r="BD1781" i="1"/>
  <c r="AP1781" i="1"/>
  <c r="AX1781" i="1" s="1"/>
  <c r="AO1781" i="1"/>
  <c r="BH1781" i="1" s="1"/>
  <c r="AK1781" i="1"/>
  <c r="AJ1781" i="1"/>
  <c r="AH1781" i="1"/>
  <c r="AG1781" i="1"/>
  <c r="AF1781" i="1"/>
  <c r="AE1781" i="1"/>
  <c r="AD1781" i="1"/>
  <c r="AC1781" i="1"/>
  <c r="AB1781" i="1"/>
  <c r="O1781" i="1"/>
  <c r="BF1781" i="1" s="1"/>
  <c r="L1781" i="1"/>
  <c r="AL1781" i="1" s="1"/>
  <c r="BW1773" i="1"/>
  <c r="BJ1773" i="1"/>
  <c r="BD1773" i="1"/>
  <c r="AP1773" i="1"/>
  <c r="AX1773" i="1" s="1"/>
  <c r="AO1773" i="1"/>
  <c r="BH1773" i="1" s="1"/>
  <c r="AD1773" i="1" s="1"/>
  <c r="AK1773" i="1"/>
  <c r="AJ1773" i="1"/>
  <c r="AH1773" i="1"/>
  <c r="AG1773" i="1"/>
  <c r="AF1773" i="1"/>
  <c r="AC1773" i="1"/>
  <c r="AB1773" i="1"/>
  <c r="Z1773" i="1"/>
  <c r="O1773" i="1"/>
  <c r="BF1773" i="1" s="1"/>
  <c r="L1773" i="1"/>
  <c r="BW1771" i="1"/>
  <c r="BJ1771" i="1"/>
  <c r="Z1771" i="1" s="1"/>
  <c r="BD1771" i="1"/>
  <c r="AP1771" i="1"/>
  <c r="AX1771" i="1" s="1"/>
  <c r="AO1771" i="1"/>
  <c r="BH1771" i="1" s="1"/>
  <c r="AK1771" i="1"/>
  <c r="AJ1771" i="1"/>
  <c r="AH1771" i="1"/>
  <c r="AG1771" i="1"/>
  <c r="AF1771" i="1"/>
  <c r="AE1771" i="1"/>
  <c r="AD1771" i="1"/>
  <c r="AC1771" i="1"/>
  <c r="AB1771" i="1"/>
  <c r="O1771" i="1"/>
  <c r="BF1771" i="1" s="1"/>
  <c r="L1771" i="1"/>
  <c r="AL1771" i="1" s="1"/>
  <c r="BW1770" i="1"/>
  <c r="BJ1770" i="1"/>
  <c r="BD1770" i="1"/>
  <c r="AP1770" i="1"/>
  <c r="AO1770" i="1"/>
  <c r="AW1770" i="1" s="1"/>
  <c r="AK1770" i="1"/>
  <c r="AJ1770" i="1"/>
  <c r="AH1770" i="1"/>
  <c r="AG1770" i="1"/>
  <c r="AF1770" i="1"/>
  <c r="AC1770" i="1"/>
  <c r="AB1770" i="1"/>
  <c r="Z1770" i="1"/>
  <c r="O1770" i="1"/>
  <c r="BF1770" i="1" s="1"/>
  <c r="L1770" i="1"/>
  <c r="BW1769" i="1"/>
  <c r="BJ1769" i="1"/>
  <c r="BD1769" i="1"/>
  <c r="AP1769" i="1"/>
  <c r="AX1769" i="1" s="1"/>
  <c r="AO1769" i="1"/>
  <c r="BH1769" i="1" s="1"/>
  <c r="AD1769" i="1" s="1"/>
  <c r="AK1769" i="1"/>
  <c r="AJ1769" i="1"/>
  <c r="AH1769" i="1"/>
  <c r="AG1769" i="1"/>
  <c r="AF1769" i="1"/>
  <c r="AC1769" i="1"/>
  <c r="AB1769" i="1"/>
  <c r="Z1769" i="1"/>
  <c r="O1769" i="1"/>
  <c r="BF1769" i="1" s="1"/>
  <c r="L1769" i="1"/>
  <c r="BW1768" i="1"/>
  <c r="BJ1768" i="1"/>
  <c r="BD1768" i="1"/>
  <c r="AP1768" i="1"/>
  <c r="AX1768" i="1" s="1"/>
  <c r="AO1768" i="1"/>
  <c r="BH1768" i="1" s="1"/>
  <c r="AD1768" i="1" s="1"/>
  <c r="AK1768" i="1"/>
  <c r="AJ1768" i="1"/>
  <c r="AH1768" i="1"/>
  <c r="AG1768" i="1"/>
  <c r="AF1768" i="1"/>
  <c r="AC1768" i="1"/>
  <c r="AB1768" i="1"/>
  <c r="Z1768" i="1"/>
  <c r="O1768" i="1"/>
  <c r="BF1768" i="1" s="1"/>
  <c r="L1768" i="1"/>
  <c r="BW1767" i="1"/>
  <c r="BJ1767" i="1"/>
  <c r="BD1767" i="1"/>
  <c r="AP1767" i="1"/>
  <c r="K1767" i="1" s="1"/>
  <c r="AO1767" i="1"/>
  <c r="BH1767" i="1" s="1"/>
  <c r="AD1767" i="1" s="1"/>
  <c r="AK1767" i="1"/>
  <c r="AJ1767" i="1"/>
  <c r="AH1767" i="1"/>
  <c r="AG1767" i="1"/>
  <c r="AF1767" i="1"/>
  <c r="AC1767" i="1"/>
  <c r="AB1767" i="1"/>
  <c r="Z1767" i="1"/>
  <c r="O1767" i="1"/>
  <c r="BF1767" i="1" s="1"/>
  <c r="L1767" i="1"/>
  <c r="BW1766" i="1"/>
  <c r="BJ1766" i="1"/>
  <c r="BD1766" i="1"/>
  <c r="AP1766" i="1"/>
  <c r="AX1766" i="1" s="1"/>
  <c r="AO1766" i="1"/>
  <c r="BH1766" i="1" s="1"/>
  <c r="AD1766" i="1" s="1"/>
  <c r="AK1766" i="1"/>
  <c r="AJ1766" i="1"/>
  <c r="AH1766" i="1"/>
  <c r="AG1766" i="1"/>
  <c r="AF1766" i="1"/>
  <c r="AC1766" i="1"/>
  <c r="AB1766" i="1"/>
  <c r="Z1766" i="1"/>
  <c r="O1766" i="1"/>
  <c r="BF1766" i="1" s="1"/>
  <c r="L1766" i="1"/>
  <c r="AL1766" i="1" s="1"/>
  <c r="BW1765" i="1"/>
  <c r="BJ1765" i="1"/>
  <c r="BD1765" i="1"/>
  <c r="AP1765" i="1"/>
  <c r="AX1765" i="1" s="1"/>
  <c r="AO1765" i="1"/>
  <c r="BH1765" i="1" s="1"/>
  <c r="AD1765" i="1" s="1"/>
  <c r="AK1765" i="1"/>
  <c r="AJ1765" i="1"/>
  <c r="AH1765" i="1"/>
  <c r="AG1765" i="1"/>
  <c r="AF1765" i="1"/>
  <c r="AC1765" i="1"/>
  <c r="AB1765" i="1"/>
  <c r="Z1765" i="1"/>
  <c r="O1765" i="1"/>
  <c r="BF1765" i="1" s="1"/>
  <c r="L1765" i="1"/>
  <c r="BW1764" i="1"/>
  <c r="BJ1764" i="1"/>
  <c r="BD1764" i="1"/>
  <c r="AP1764" i="1"/>
  <c r="AX1764" i="1" s="1"/>
  <c r="AO1764" i="1"/>
  <c r="BH1764" i="1" s="1"/>
  <c r="AD1764" i="1" s="1"/>
  <c r="AK1764" i="1"/>
  <c r="AJ1764" i="1"/>
  <c r="AH1764" i="1"/>
  <c r="AG1764" i="1"/>
  <c r="AF1764" i="1"/>
  <c r="AC1764" i="1"/>
  <c r="AB1764" i="1"/>
  <c r="Z1764" i="1"/>
  <c r="O1764" i="1"/>
  <c r="BF1764" i="1" s="1"/>
  <c r="L1764" i="1"/>
  <c r="AL1764" i="1" s="1"/>
  <c r="BW1763" i="1"/>
  <c r="BJ1763" i="1"/>
  <c r="BD1763" i="1"/>
  <c r="AP1763" i="1"/>
  <c r="AX1763" i="1" s="1"/>
  <c r="AO1763" i="1"/>
  <c r="BH1763" i="1" s="1"/>
  <c r="AD1763" i="1" s="1"/>
  <c r="AK1763" i="1"/>
  <c r="AJ1763" i="1"/>
  <c r="AH1763" i="1"/>
  <c r="AG1763" i="1"/>
  <c r="AF1763" i="1"/>
  <c r="AC1763" i="1"/>
  <c r="AB1763" i="1"/>
  <c r="Z1763" i="1"/>
  <c r="O1763" i="1"/>
  <c r="BF1763" i="1" s="1"/>
  <c r="L1763" i="1"/>
  <c r="BW1762" i="1"/>
  <c r="BJ1762" i="1"/>
  <c r="BD1762" i="1"/>
  <c r="AP1762" i="1"/>
  <c r="AX1762" i="1" s="1"/>
  <c r="AO1762" i="1"/>
  <c r="BH1762" i="1" s="1"/>
  <c r="AD1762" i="1" s="1"/>
  <c r="AK1762" i="1"/>
  <c r="AJ1762" i="1"/>
  <c r="AH1762" i="1"/>
  <c r="AG1762" i="1"/>
  <c r="AF1762" i="1"/>
  <c r="AC1762" i="1"/>
  <c r="AB1762" i="1"/>
  <c r="Z1762" i="1"/>
  <c r="O1762" i="1"/>
  <c r="BF1762" i="1" s="1"/>
  <c r="L1762" i="1"/>
  <c r="AL1762" i="1" s="1"/>
  <c r="BW1761" i="1"/>
  <c r="BJ1761" i="1"/>
  <c r="BD1761" i="1"/>
  <c r="AP1761" i="1"/>
  <c r="AO1761" i="1"/>
  <c r="BH1761" i="1" s="1"/>
  <c r="AD1761" i="1" s="1"/>
  <c r="AK1761" i="1"/>
  <c r="AJ1761" i="1"/>
  <c r="AH1761" i="1"/>
  <c r="AG1761" i="1"/>
  <c r="AF1761" i="1"/>
  <c r="AC1761" i="1"/>
  <c r="AB1761" i="1"/>
  <c r="Z1761" i="1"/>
  <c r="O1761" i="1"/>
  <c r="BF1761" i="1" s="1"/>
  <c r="L1761" i="1"/>
  <c r="BW1760" i="1"/>
  <c r="BJ1760" i="1"/>
  <c r="BD1760" i="1"/>
  <c r="AP1760" i="1"/>
  <c r="AX1760" i="1" s="1"/>
  <c r="AO1760" i="1"/>
  <c r="BH1760" i="1" s="1"/>
  <c r="AD1760" i="1" s="1"/>
  <c r="AK1760" i="1"/>
  <c r="AJ1760" i="1"/>
  <c r="AH1760" i="1"/>
  <c r="AG1760" i="1"/>
  <c r="AF1760" i="1"/>
  <c r="AC1760" i="1"/>
  <c r="AB1760" i="1"/>
  <c r="Z1760" i="1"/>
  <c r="O1760" i="1"/>
  <c r="BF1760" i="1" s="1"/>
  <c r="L1760" i="1"/>
  <c r="AL1760" i="1" s="1"/>
  <c r="BW1759" i="1"/>
  <c r="BJ1759" i="1"/>
  <c r="BD1759" i="1"/>
  <c r="AP1759" i="1"/>
  <c r="AO1759" i="1"/>
  <c r="BH1759" i="1" s="1"/>
  <c r="AD1759" i="1" s="1"/>
  <c r="AK1759" i="1"/>
  <c r="AJ1759" i="1"/>
  <c r="AH1759" i="1"/>
  <c r="AG1759" i="1"/>
  <c r="AF1759" i="1"/>
  <c r="AC1759" i="1"/>
  <c r="AB1759" i="1"/>
  <c r="Z1759" i="1"/>
  <c r="O1759" i="1"/>
  <c r="BF1759" i="1" s="1"/>
  <c r="L1759" i="1"/>
  <c r="BW1758" i="1"/>
  <c r="BJ1758" i="1"/>
  <c r="BD1758" i="1"/>
  <c r="AP1758" i="1"/>
  <c r="AX1758" i="1" s="1"/>
  <c r="AO1758" i="1"/>
  <c r="BH1758" i="1" s="1"/>
  <c r="AD1758" i="1" s="1"/>
  <c r="AK1758" i="1"/>
  <c r="AJ1758" i="1"/>
  <c r="AH1758" i="1"/>
  <c r="AG1758" i="1"/>
  <c r="AF1758" i="1"/>
  <c r="AC1758" i="1"/>
  <c r="AB1758" i="1"/>
  <c r="Z1758" i="1"/>
  <c r="O1758" i="1"/>
  <c r="BF1758" i="1" s="1"/>
  <c r="L1758" i="1"/>
  <c r="AL1758" i="1" s="1"/>
  <c r="BW1757" i="1"/>
  <c r="BJ1757" i="1"/>
  <c r="BD1757" i="1"/>
  <c r="AP1757" i="1"/>
  <c r="AX1757" i="1" s="1"/>
  <c r="AO1757" i="1"/>
  <c r="BH1757" i="1" s="1"/>
  <c r="AD1757" i="1" s="1"/>
  <c r="AK1757" i="1"/>
  <c r="AJ1757" i="1"/>
  <c r="AH1757" i="1"/>
  <c r="AG1757" i="1"/>
  <c r="AF1757" i="1"/>
  <c r="AC1757" i="1"/>
  <c r="AB1757" i="1"/>
  <c r="Z1757" i="1"/>
  <c r="O1757" i="1"/>
  <c r="BF1757" i="1" s="1"/>
  <c r="L1757" i="1"/>
  <c r="BW1756" i="1"/>
  <c r="BJ1756" i="1"/>
  <c r="BD1756" i="1"/>
  <c r="AP1756" i="1"/>
  <c r="AX1756" i="1" s="1"/>
  <c r="AO1756" i="1"/>
  <c r="BH1756" i="1" s="1"/>
  <c r="AD1756" i="1" s="1"/>
  <c r="AK1756" i="1"/>
  <c r="AJ1756" i="1"/>
  <c r="AH1756" i="1"/>
  <c r="AG1756" i="1"/>
  <c r="AF1756" i="1"/>
  <c r="AC1756" i="1"/>
  <c r="AB1756" i="1"/>
  <c r="Z1756" i="1"/>
  <c r="O1756" i="1"/>
  <c r="BF1756" i="1" s="1"/>
  <c r="L1756" i="1"/>
  <c r="AL1756" i="1" s="1"/>
  <c r="BW1755" i="1"/>
  <c r="BJ1755" i="1"/>
  <c r="BD1755" i="1"/>
  <c r="AP1755" i="1"/>
  <c r="AX1755" i="1" s="1"/>
  <c r="AO1755" i="1"/>
  <c r="BH1755" i="1" s="1"/>
  <c r="AD1755" i="1" s="1"/>
  <c r="AK1755" i="1"/>
  <c r="AJ1755" i="1"/>
  <c r="AH1755" i="1"/>
  <c r="AG1755" i="1"/>
  <c r="AF1755" i="1"/>
  <c r="AC1755" i="1"/>
  <c r="AB1755" i="1"/>
  <c r="Z1755" i="1"/>
  <c r="O1755" i="1"/>
  <c r="BF1755" i="1" s="1"/>
  <c r="L1755" i="1"/>
  <c r="BW1754" i="1"/>
  <c r="BJ1754" i="1"/>
  <c r="BD1754" i="1"/>
  <c r="AP1754" i="1"/>
  <c r="AX1754" i="1" s="1"/>
  <c r="AO1754" i="1"/>
  <c r="BH1754" i="1" s="1"/>
  <c r="AD1754" i="1" s="1"/>
  <c r="AK1754" i="1"/>
  <c r="AJ1754" i="1"/>
  <c r="AH1754" i="1"/>
  <c r="AG1754" i="1"/>
  <c r="AF1754" i="1"/>
  <c r="AC1754" i="1"/>
  <c r="AB1754" i="1"/>
  <c r="Z1754" i="1"/>
  <c r="O1754" i="1"/>
  <c r="BF1754" i="1" s="1"/>
  <c r="L1754" i="1"/>
  <c r="AL1754" i="1" s="1"/>
  <c r="BW1753" i="1"/>
  <c r="BJ1753" i="1"/>
  <c r="BD1753" i="1"/>
  <c r="AP1753" i="1"/>
  <c r="AX1753" i="1" s="1"/>
  <c r="AO1753" i="1"/>
  <c r="BH1753" i="1" s="1"/>
  <c r="AD1753" i="1" s="1"/>
  <c r="AK1753" i="1"/>
  <c r="AJ1753" i="1"/>
  <c r="AH1753" i="1"/>
  <c r="AG1753" i="1"/>
  <c r="AF1753" i="1"/>
  <c r="AC1753" i="1"/>
  <c r="AB1753" i="1"/>
  <c r="Z1753" i="1"/>
  <c r="O1753" i="1"/>
  <c r="BF1753" i="1" s="1"/>
  <c r="L1753" i="1"/>
  <c r="BW1752" i="1"/>
  <c r="BJ1752" i="1"/>
  <c r="BD1752" i="1"/>
  <c r="AP1752" i="1"/>
  <c r="AX1752" i="1" s="1"/>
  <c r="AO1752" i="1"/>
  <c r="BH1752" i="1" s="1"/>
  <c r="AD1752" i="1" s="1"/>
  <c r="AK1752" i="1"/>
  <c r="AJ1752" i="1"/>
  <c r="AH1752" i="1"/>
  <c r="AG1752" i="1"/>
  <c r="AF1752" i="1"/>
  <c r="AC1752" i="1"/>
  <c r="AB1752" i="1"/>
  <c r="Z1752" i="1"/>
  <c r="O1752" i="1"/>
  <c r="BF1752" i="1" s="1"/>
  <c r="L1752" i="1"/>
  <c r="AL1752" i="1" s="1"/>
  <c r="BW1751" i="1"/>
  <c r="BJ1751" i="1"/>
  <c r="BD1751" i="1"/>
  <c r="AP1751" i="1"/>
  <c r="K1751" i="1" s="1"/>
  <c r="AO1751" i="1"/>
  <c r="BH1751" i="1" s="1"/>
  <c r="AD1751" i="1" s="1"/>
  <c r="AK1751" i="1"/>
  <c r="AJ1751" i="1"/>
  <c r="AH1751" i="1"/>
  <c r="AG1751" i="1"/>
  <c r="AF1751" i="1"/>
  <c r="AC1751" i="1"/>
  <c r="AB1751" i="1"/>
  <c r="Z1751" i="1"/>
  <c r="O1751" i="1"/>
  <c r="BF1751" i="1" s="1"/>
  <c r="L1751" i="1"/>
  <c r="BW1750" i="1"/>
  <c r="BJ1750" i="1"/>
  <c r="BD1750" i="1"/>
  <c r="AP1750" i="1"/>
  <c r="AX1750" i="1" s="1"/>
  <c r="AO1750" i="1"/>
  <c r="AK1750" i="1"/>
  <c r="AJ1750" i="1"/>
  <c r="AH1750" i="1"/>
  <c r="AG1750" i="1"/>
  <c r="AF1750" i="1"/>
  <c r="AC1750" i="1"/>
  <c r="AB1750" i="1"/>
  <c r="Z1750" i="1"/>
  <c r="O1750" i="1"/>
  <c r="BF1750" i="1" s="1"/>
  <c r="L1750" i="1"/>
  <c r="AL1750" i="1" s="1"/>
  <c r="BW1749" i="1"/>
  <c r="BJ1749" i="1"/>
  <c r="BD1749" i="1"/>
  <c r="AP1749" i="1"/>
  <c r="AO1749" i="1"/>
  <c r="BH1749" i="1" s="1"/>
  <c r="AD1749" i="1" s="1"/>
  <c r="AK1749" i="1"/>
  <c r="AJ1749" i="1"/>
  <c r="AH1749" i="1"/>
  <c r="AG1749" i="1"/>
  <c r="AF1749" i="1"/>
  <c r="AC1749" i="1"/>
  <c r="AB1749" i="1"/>
  <c r="Z1749" i="1"/>
  <c r="O1749" i="1"/>
  <c r="BF1749" i="1" s="1"/>
  <c r="L1749" i="1"/>
  <c r="BW1748" i="1"/>
  <c r="BJ1748" i="1"/>
  <c r="BD1748" i="1"/>
  <c r="AP1748" i="1"/>
  <c r="AX1748" i="1" s="1"/>
  <c r="AO1748" i="1"/>
  <c r="BH1748" i="1" s="1"/>
  <c r="AD1748" i="1" s="1"/>
  <c r="AK1748" i="1"/>
  <c r="AJ1748" i="1"/>
  <c r="AH1748" i="1"/>
  <c r="AG1748" i="1"/>
  <c r="AF1748" i="1"/>
  <c r="AC1748" i="1"/>
  <c r="AB1748" i="1"/>
  <c r="Z1748" i="1"/>
  <c r="O1748" i="1"/>
  <c r="BF1748" i="1" s="1"/>
  <c r="L1748" i="1"/>
  <c r="AL1748" i="1" s="1"/>
  <c r="BW1747" i="1"/>
  <c r="BJ1747" i="1"/>
  <c r="BD1747" i="1"/>
  <c r="AP1747" i="1"/>
  <c r="AX1747" i="1" s="1"/>
  <c r="AO1747" i="1"/>
  <c r="BH1747" i="1" s="1"/>
  <c r="AD1747" i="1" s="1"/>
  <c r="AK1747" i="1"/>
  <c r="AJ1747" i="1"/>
  <c r="AH1747" i="1"/>
  <c r="AG1747" i="1"/>
  <c r="AF1747" i="1"/>
  <c r="AC1747" i="1"/>
  <c r="AB1747" i="1"/>
  <c r="Z1747" i="1"/>
  <c r="O1747" i="1"/>
  <c r="BF1747" i="1" s="1"/>
  <c r="L1747" i="1"/>
  <c r="AL1747" i="1" s="1"/>
  <c r="BW1746" i="1"/>
  <c r="BJ1746" i="1"/>
  <c r="BD1746" i="1"/>
  <c r="AP1746" i="1"/>
  <c r="AX1746" i="1" s="1"/>
  <c r="AO1746" i="1"/>
  <c r="BH1746" i="1" s="1"/>
  <c r="AD1746" i="1" s="1"/>
  <c r="AK1746" i="1"/>
  <c r="AJ1746" i="1"/>
  <c r="AH1746" i="1"/>
  <c r="AG1746" i="1"/>
  <c r="AF1746" i="1"/>
  <c r="AC1746" i="1"/>
  <c r="AB1746" i="1"/>
  <c r="Z1746" i="1"/>
  <c r="O1746" i="1"/>
  <c r="BF1746" i="1" s="1"/>
  <c r="L1746" i="1"/>
  <c r="BW1745" i="1"/>
  <c r="BJ1745" i="1"/>
  <c r="BD1745" i="1"/>
  <c r="AP1745" i="1"/>
  <c r="AX1745" i="1" s="1"/>
  <c r="AO1745" i="1"/>
  <c r="J1745" i="1" s="1"/>
  <c r="AK1745" i="1"/>
  <c r="AJ1745" i="1"/>
  <c r="AH1745" i="1"/>
  <c r="AG1745" i="1"/>
  <c r="AF1745" i="1"/>
  <c r="AC1745" i="1"/>
  <c r="AB1745" i="1"/>
  <c r="Z1745" i="1"/>
  <c r="O1745" i="1"/>
  <c r="BF1745" i="1" s="1"/>
  <c r="L1745" i="1"/>
  <c r="BW1743" i="1"/>
  <c r="BJ1743" i="1"/>
  <c r="BD1743" i="1"/>
  <c r="AP1743" i="1"/>
  <c r="AX1743" i="1" s="1"/>
  <c r="AO1743" i="1"/>
  <c r="BH1743" i="1" s="1"/>
  <c r="AD1743" i="1" s="1"/>
  <c r="AK1743" i="1"/>
  <c r="AJ1743" i="1"/>
  <c r="AH1743" i="1"/>
  <c r="AG1743" i="1"/>
  <c r="AF1743" i="1"/>
  <c r="AC1743" i="1"/>
  <c r="AB1743" i="1"/>
  <c r="Z1743" i="1"/>
  <c r="O1743" i="1"/>
  <c r="BF1743" i="1" s="1"/>
  <c r="L1743" i="1"/>
  <c r="K1743" i="1"/>
  <c r="BW1741" i="1"/>
  <c r="BJ1741" i="1"/>
  <c r="BD1741" i="1"/>
  <c r="AP1741" i="1"/>
  <c r="AX1741" i="1" s="1"/>
  <c r="AO1741" i="1"/>
  <c r="BH1741" i="1" s="1"/>
  <c r="AD1741" i="1" s="1"/>
  <c r="AK1741" i="1"/>
  <c r="AJ1741" i="1"/>
  <c r="AH1741" i="1"/>
  <c r="AG1741" i="1"/>
  <c r="AF1741" i="1"/>
  <c r="AC1741" i="1"/>
  <c r="AB1741" i="1"/>
  <c r="Z1741" i="1"/>
  <c r="O1741" i="1"/>
  <c r="BF1741" i="1" s="1"/>
  <c r="L1741" i="1"/>
  <c r="AL1741" i="1" s="1"/>
  <c r="BW1739" i="1"/>
  <c r="BJ1739" i="1"/>
  <c r="BD1739" i="1"/>
  <c r="AP1739" i="1"/>
  <c r="BI1739" i="1" s="1"/>
  <c r="AE1739" i="1" s="1"/>
  <c r="AO1739" i="1"/>
  <c r="AK1739" i="1"/>
  <c r="AJ1739" i="1"/>
  <c r="AH1739" i="1"/>
  <c r="AG1739" i="1"/>
  <c r="AF1739" i="1"/>
  <c r="AC1739" i="1"/>
  <c r="AB1739" i="1"/>
  <c r="Z1739" i="1"/>
  <c r="O1739" i="1"/>
  <c r="BF1739" i="1" s="1"/>
  <c r="L1739" i="1"/>
  <c r="AL1739" i="1" s="1"/>
  <c r="BW1737" i="1"/>
  <c r="BJ1737" i="1"/>
  <c r="BD1737" i="1"/>
  <c r="AP1737" i="1"/>
  <c r="AO1737" i="1"/>
  <c r="AW1737" i="1" s="1"/>
  <c r="AK1737" i="1"/>
  <c r="AJ1737" i="1"/>
  <c r="AH1737" i="1"/>
  <c r="AG1737" i="1"/>
  <c r="AF1737" i="1"/>
  <c r="AC1737" i="1"/>
  <c r="AB1737" i="1"/>
  <c r="Z1737" i="1"/>
  <c r="O1737" i="1"/>
  <c r="BF1737" i="1" s="1"/>
  <c r="L1737" i="1"/>
  <c r="AL1737" i="1" s="1"/>
  <c r="BW1736" i="1"/>
  <c r="BJ1736" i="1"/>
  <c r="BD1736" i="1"/>
  <c r="AP1736" i="1"/>
  <c r="AX1736" i="1" s="1"/>
  <c r="AO1736" i="1"/>
  <c r="AW1736" i="1" s="1"/>
  <c r="AK1736" i="1"/>
  <c r="AJ1736" i="1"/>
  <c r="AH1736" i="1"/>
  <c r="AG1736" i="1"/>
  <c r="AF1736" i="1"/>
  <c r="AC1736" i="1"/>
  <c r="AB1736" i="1"/>
  <c r="Z1736" i="1"/>
  <c r="O1736" i="1"/>
  <c r="BF1736" i="1" s="1"/>
  <c r="L1736" i="1"/>
  <c r="AL1736" i="1" s="1"/>
  <c r="BW1731" i="1"/>
  <c r="BJ1731" i="1"/>
  <c r="BD1731" i="1"/>
  <c r="AP1731" i="1"/>
  <c r="BI1731" i="1" s="1"/>
  <c r="AE1731" i="1" s="1"/>
  <c r="AO1731" i="1"/>
  <c r="AK1731" i="1"/>
  <c r="AJ1731" i="1"/>
  <c r="AH1731" i="1"/>
  <c r="AG1731" i="1"/>
  <c r="AF1731" i="1"/>
  <c r="AC1731" i="1"/>
  <c r="AB1731" i="1"/>
  <c r="Z1731" i="1"/>
  <c r="O1731" i="1"/>
  <c r="L1731" i="1"/>
  <c r="AL1731" i="1" s="1"/>
  <c r="BW1729" i="1"/>
  <c r="BJ1729" i="1"/>
  <c r="BD1729" i="1"/>
  <c r="AP1729" i="1"/>
  <c r="BI1729" i="1" s="1"/>
  <c r="AE1729" i="1" s="1"/>
  <c r="AO1729" i="1"/>
  <c r="AK1729" i="1"/>
  <c r="AJ1729" i="1"/>
  <c r="AH1729" i="1"/>
  <c r="AG1729" i="1"/>
  <c r="AF1729" i="1"/>
  <c r="AC1729" i="1"/>
  <c r="AB1729" i="1"/>
  <c r="Z1729" i="1"/>
  <c r="O1729" i="1"/>
  <c r="BF1729" i="1" s="1"/>
  <c r="L1729" i="1"/>
  <c r="AL1729" i="1" s="1"/>
  <c r="BW1728" i="1"/>
  <c r="BJ1728" i="1"/>
  <c r="Z1728" i="1" s="1"/>
  <c r="BD1728" i="1"/>
  <c r="AP1728" i="1"/>
  <c r="AO1728" i="1"/>
  <c r="AW1728" i="1" s="1"/>
  <c r="AK1728" i="1"/>
  <c r="AJ1728" i="1"/>
  <c r="AH1728" i="1"/>
  <c r="AG1728" i="1"/>
  <c r="AF1728" i="1"/>
  <c r="AE1728" i="1"/>
  <c r="AD1728" i="1"/>
  <c r="AC1728" i="1"/>
  <c r="AB1728" i="1"/>
  <c r="O1728" i="1"/>
  <c r="BF1728" i="1" s="1"/>
  <c r="L1728" i="1"/>
  <c r="AL1728" i="1" s="1"/>
  <c r="BW1727" i="1"/>
  <c r="BJ1727" i="1"/>
  <c r="BD1727" i="1"/>
  <c r="AP1727" i="1"/>
  <c r="AX1727" i="1" s="1"/>
  <c r="AO1727" i="1"/>
  <c r="AW1727" i="1" s="1"/>
  <c r="AK1727" i="1"/>
  <c r="AJ1727" i="1"/>
  <c r="AH1727" i="1"/>
  <c r="AG1727" i="1"/>
  <c r="AF1727" i="1"/>
  <c r="AC1727" i="1"/>
  <c r="AB1727" i="1"/>
  <c r="Z1727" i="1"/>
  <c r="O1727" i="1"/>
  <c r="BF1727" i="1" s="1"/>
  <c r="L1727" i="1"/>
  <c r="AL1727" i="1" s="1"/>
  <c r="BW1726" i="1"/>
  <c r="BJ1726" i="1"/>
  <c r="BD1726" i="1"/>
  <c r="AP1726" i="1"/>
  <c r="BI1726" i="1" s="1"/>
  <c r="AE1726" i="1" s="1"/>
  <c r="AO1726" i="1"/>
  <c r="AK1726" i="1"/>
  <c r="AJ1726" i="1"/>
  <c r="AH1726" i="1"/>
  <c r="AG1726" i="1"/>
  <c r="AF1726" i="1"/>
  <c r="AC1726" i="1"/>
  <c r="AB1726" i="1"/>
  <c r="Z1726" i="1"/>
  <c r="O1726" i="1"/>
  <c r="BF1726" i="1" s="1"/>
  <c r="L1726" i="1"/>
  <c r="AL1726" i="1" s="1"/>
  <c r="BW1725" i="1"/>
  <c r="BJ1725" i="1"/>
  <c r="BD1725" i="1"/>
  <c r="AP1725" i="1"/>
  <c r="AO1725" i="1"/>
  <c r="AW1725" i="1" s="1"/>
  <c r="AK1725" i="1"/>
  <c r="AJ1725" i="1"/>
  <c r="AH1725" i="1"/>
  <c r="AG1725" i="1"/>
  <c r="AF1725" i="1"/>
  <c r="AC1725" i="1"/>
  <c r="AB1725" i="1"/>
  <c r="Z1725" i="1"/>
  <c r="O1725" i="1"/>
  <c r="BF1725" i="1" s="1"/>
  <c r="L1725" i="1"/>
  <c r="AL1725" i="1" s="1"/>
  <c r="BW1724" i="1"/>
  <c r="BJ1724" i="1"/>
  <c r="BD1724" i="1"/>
  <c r="AP1724" i="1"/>
  <c r="AX1724" i="1" s="1"/>
  <c r="AO1724" i="1"/>
  <c r="AW1724" i="1" s="1"/>
  <c r="AK1724" i="1"/>
  <c r="AJ1724" i="1"/>
  <c r="AH1724" i="1"/>
  <c r="AG1724" i="1"/>
  <c r="AF1724" i="1"/>
  <c r="AC1724" i="1"/>
  <c r="AB1724" i="1"/>
  <c r="Z1724" i="1"/>
  <c r="O1724" i="1"/>
  <c r="BF1724" i="1" s="1"/>
  <c r="L1724" i="1"/>
  <c r="BW1723" i="1"/>
  <c r="BJ1723" i="1"/>
  <c r="BD1723" i="1"/>
  <c r="AP1723" i="1"/>
  <c r="BI1723" i="1" s="1"/>
  <c r="AE1723" i="1" s="1"/>
  <c r="AO1723" i="1"/>
  <c r="AK1723" i="1"/>
  <c r="AJ1723" i="1"/>
  <c r="AH1723" i="1"/>
  <c r="AG1723" i="1"/>
  <c r="AF1723" i="1"/>
  <c r="AC1723" i="1"/>
  <c r="AB1723" i="1"/>
  <c r="Z1723" i="1"/>
  <c r="O1723" i="1"/>
  <c r="BF1723" i="1" s="1"/>
  <c r="L1723" i="1"/>
  <c r="AL1723" i="1" s="1"/>
  <c r="BW1722" i="1"/>
  <c r="BJ1722" i="1"/>
  <c r="BD1722" i="1"/>
  <c r="AP1722" i="1"/>
  <c r="BI1722" i="1" s="1"/>
  <c r="AE1722" i="1" s="1"/>
  <c r="AO1722" i="1"/>
  <c r="AW1722" i="1" s="1"/>
  <c r="AK1722" i="1"/>
  <c r="AJ1722" i="1"/>
  <c r="AH1722" i="1"/>
  <c r="AG1722" i="1"/>
  <c r="AF1722" i="1"/>
  <c r="AC1722" i="1"/>
  <c r="AB1722" i="1"/>
  <c r="Z1722" i="1"/>
  <c r="O1722" i="1"/>
  <c r="BF1722" i="1" s="1"/>
  <c r="L1722" i="1"/>
  <c r="AL1722" i="1" s="1"/>
  <c r="BW1721" i="1"/>
  <c r="BJ1721" i="1"/>
  <c r="BD1721" i="1"/>
  <c r="AP1721" i="1"/>
  <c r="AX1721" i="1" s="1"/>
  <c r="AO1721" i="1"/>
  <c r="AW1721" i="1" s="1"/>
  <c r="AK1721" i="1"/>
  <c r="AJ1721" i="1"/>
  <c r="AH1721" i="1"/>
  <c r="AG1721" i="1"/>
  <c r="AF1721" i="1"/>
  <c r="AC1721" i="1"/>
  <c r="AB1721" i="1"/>
  <c r="Z1721" i="1"/>
  <c r="O1721" i="1"/>
  <c r="BF1721" i="1" s="1"/>
  <c r="L1721" i="1"/>
  <c r="AL1721" i="1" s="1"/>
  <c r="BW1720" i="1"/>
  <c r="BJ1720" i="1"/>
  <c r="BD1720" i="1"/>
  <c r="AP1720" i="1"/>
  <c r="BI1720" i="1" s="1"/>
  <c r="AE1720" i="1" s="1"/>
  <c r="AO1720" i="1"/>
  <c r="AK1720" i="1"/>
  <c r="AJ1720" i="1"/>
  <c r="AH1720" i="1"/>
  <c r="AG1720" i="1"/>
  <c r="AF1720" i="1"/>
  <c r="AC1720" i="1"/>
  <c r="AB1720" i="1"/>
  <c r="Z1720" i="1"/>
  <c r="O1720" i="1"/>
  <c r="BF1720" i="1" s="1"/>
  <c r="L1720" i="1"/>
  <c r="AL1720" i="1" s="1"/>
  <c r="BW1719" i="1"/>
  <c r="BJ1719" i="1"/>
  <c r="BD1719" i="1"/>
  <c r="AP1719" i="1"/>
  <c r="AX1719" i="1" s="1"/>
  <c r="AO1719" i="1"/>
  <c r="AK1719" i="1"/>
  <c r="AJ1719" i="1"/>
  <c r="AH1719" i="1"/>
  <c r="AG1719" i="1"/>
  <c r="AF1719" i="1"/>
  <c r="AC1719" i="1"/>
  <c r="AB1719" i="1"/>
  <c r="Z1719" i="1"/>
  <c r="O1719" i="1"/>
  <c r="BF1719" i="1" s="1"/>
  <c r="L1719" i="1"/>
  <c r="AL1719" i="1" s="1"/>
  <c r="BW1718" i="1"/>
  <c r="BJ1718" i="1"/>
  <c r="BD1718" i="1"/>
  <c r="AP1718" i="1"/>
  <c r="AX1718" i="1" s="1"/>
  <c r="AO1718" i="1"/>
  <c r="J1718" i="1" s="1"/>
  <c r="AK1718" i="1"/>
  <c r="AJ1718" i="1"/>
  <c r="AH1718" i="1"/>
  <c r="AG1718" i="1"/>
  <c r="AF1718" i="1"/>
  <c r="AC1718" i="1"/>
  <c r="AB1718" i="1"/>
  <c r="Z1718" i="1"/>
  <c r="O1718" i="1"/>
  <c r="BF1718" i="1" s="1"/>
  <c r="L1718" i="1"/>
  <c r="BW1717" i="1"/>
  <c r="BJ1717" i="1"/>
  <c r="BD1717" i="1"/>
  <c r="AP1717" i="1"/>
  <c r="BI1717" i="1" s="1"/>
  <c r="AE1717" i="1" s="1"/>
  <c r="AO1717" i="1"/>
  <c r="AK1717" i="1"/>
  <c r="AJ1717" i="1"/>
  <c r="AH1717" i="1"/>
  <c r="AG1717" i="1"/>
  <c r="AF1717" i="1"/>
  <c r="AC1717" i="1"/>
  <c r="AB1717" i="1"/>
  <c r="Z1717" i="1"/>
  <c r="O1717" i="1"/>
  <c r="BF1717" i="1" s="1"/>
  <c r="L1717" i="1"/>
  <c r="AL1717" i="1" s="1"/>
  <c r="BW1716" i="1"/>
  <c r="BJ1716" i="1"/>
  <c r="BD1716" i="1"/>
  <c r="AP1716" i="1"/>
  <c r="AX1716" i="1" s="1"/>
  <c r="AO1716" i="1"/>
  <c r="AK1716" i="1"/>
  <c r="AJ1716" i="1"/>
  <c r="AH1716" i="1"/>
  <c r="AG1716" i="1"/>
  <c r="AF1716" i="1"/>
  <c r="AC1716" i="1"/>
  <c r="AB1716" i="1"/>
  <c r="Z1716" i="1"/>
  <c r="O1716" i="1"/>
  <c r="BF1716" i="1" s="1"/>
  <c r="L1716" i="1"/>
  <c r="AL1716" i="1" s="1"/>
  <c r="BW1715" i="1"/>
  <c r="BJ1715" i="1"/>
  <c r="BD1715" i="1"/>
  <c r="AP1715" i="1"/>
  <c r="AX1715" i="1" s="1"/>
  <c r="AO1715" i="1"/>
  <c r="AW1715" i="1" s="1"/>
  <c r="AK1715" i="1"/>
  <c r="AJ1715" i="1"/>
  <c r="AH1715" i="1"/>
  <c r="AG1715" i="1"/>
  <c r="AF1715" i="1"/>
  <c r="AC1715" i="1"/>
  <c r="AB1715" i="1"/>
  <c r="Z1715" i="1"/>
  <c r="O1715" i="1"/>
  <c r="BF1715" i="1" s="1"/>
  <c r="L1715" i="1"/>
  <c r="BW1714" i="1"/>
  <c r="BJ1714" i="1"/>
  <c r="BD1714" i="1"/>
  <c r="AP1714" i="1"/>
  <c r="BI1714" i="1" s="1"/>
  <c r="AE1714" i="1" s="1"/>
  <c r="AO1714" i="1"/>
  <c r="AK1714" i="1"/>
  <c r="AJ1714" i="1"/>
  <c r="AH1714" i="1"/>
  <c r="AG1714" i="1"/>
  <c r="AF1714" i="1"/>
  <c r="AC1714" i="1"/>
  <c r="AB1714" i="1"/>
  <c r="Z1714" i="1"/>
  <c r="O1714" i="1"/>
  <c r="BF1714" i="1" s="1"/>
  <c r="L1714" i="1"/>
  <c r="AL1714" i="1" s="1"/>
  <c r="BW1713" i="1"/>
  <c r="BJ1713" i="1"/>
  <c r="BD1713" i="1"/>
  <c r="AP1713" i="1"/>
  <c r="AO1713" i="1"/>
  <c r="AW1713" i="1" s="1"/>
  <c r="AK1713" i="1"/>
  <c r="AJ1713" i="1"/>
  <c r="AH1713" i="1"/>
  <c r="AG1713" i="1"/>
  <c r="AF1713" i="1"/>
  <c r="AC1713" i="1"/>
  <c r="AB1713" i="1"/>
  <c r="Z1713" i="1"/>
  <c r="O1713" i="1"/>
  <c r="BF1713" i="1" s="1"/>
  <c r="L1713" i="1"/>
  <c r="AL1713" i="1" s="1"/>
  <c r="K1713" i="1"/>
  <c r="BW1712" i="1"/>
  <c r="BJ1712" i="1"/>
  <c r="BD1712" i="1"/>
  <c r="AP1712" i="1"/>
  <c r="AX1712" i="1" s="1"/>
  <c r="AO1712" i="1"/>
  <c r="AW1712" i="1" s="1"/>
  <c r="AK1712" i="1"/>
  <c r="AJ1712" i="1"/>
  <c r="AH1712" i="1"/>
  <c r="AG1712" i="1"/>
  <c r="AF1712" i="1"/>
  <c r="AC1712" i="1"/>
  <c r="AB1712" i="1"/>
  <c r="Z1712" i="1"/>
  <c r="O1712" i="1"/>
  <c r="BF1712" i="1" s="1"/>
  <c r="L1712" i="1"/>
  <c r="AL1712" i="1" s="1"/>
  <c r="BW1711" i="1"/>
  <c r="BJ1711" i="1"/>
  <c r="BD1711" i="1"/>
  <c r="AP1711" i="1"/>
  <c r="AO1711" i="1"/>
  <c r="AK1711" i="1"/>
  <c r="AJ1711" i="1"/>
  <c r="AH1711" i="1"/>
  <c r="AG1711" i="1"/>
  <c r="AF1711" i="1"/>
  <c r="AC1711" i="1"/>
  <c r="AB1711" i="1"/>
  <c r="Z1711" i="1"/>
  <c r="O1711" i="1"/>
  <c r="BF1711" i="1" s="1"/>
  <c r="L1711" i="1"/>
  <c r="AL1711" i="1" s="1"/>
  <c r="BW1710" i="1"/>
  <c r="BJ1710" i="1"/>
  <c r="BD1710" i="1"/>
  <c r="AP1710" i="1"/>
  <c r="AO1710" i="1"/>
  <c r="AW1710" i="1" s="1"/>
  <c r="AK1710" i="1"/>
  <c r="AJ1710" i="1"/>
  <c r="AH1710" i="1"/>
  <c r="AG1710" i="1"/>
  <c r="AF1710" i="1"/>
  <c r="AC1710" i="1"/>
  <c r="AB1710" i="1"/>
  <c r="Z1710" i="1"/>
  <c r="O1710" i="1"/>
  <c r="BF1710" i="1" s="1"/>
  <c r="L1710" i="1"/>
  <c r="AL1710" i="1" s="1"/>
  <c r="BW1709" i="1"/>
  <c r="BJ1709" i="1"/>
  <c r="BD1709" i="1"/>
  <c r="AP1709" i="1"/>
  <c r="AO1709" i="1"/>
  <c r="AW1709" i="1" s="1"/>
  <c r="AK1709" i="1"/>
  <c r="AJ1709" i="1"/>
  <c r="AH1709" i="1"/>
  <c r="AG1709" i="1"/>
  <c r="AF1709" i="1"/>
  <c r="AC1709" i="1"/>
  <c r="AB1709" i="1"/>
  <c r="Z1709" i="1"/>
  <c r="O1709" i="1"/>
  <c r="BF1709" i="1" s="1"/>
  <c r="L1709" i="1"/>
  <c r="AL1709" i="1" s="1"/>
  <c r="BW1708" i="1"/>
  <c r="BJ1708" i="1"/>
  <c r="BD1708" i="1"/>
  <c r="AP1708" i="1"/>
  <c r="AO1708" i="1"/>
  <c r="AW1708" i="1" s="1"/>
  <c r="AK1708" i="1"/>
  <c r="AJ1708" i="1"/>
  <c r="AH1708" i="1"/>
  <c r="AG1708" i="1"/>
  <c r="AF1708" i="1"/>
  <c r="AC1708" i="1"/>
  <c r="AB1708" i="1"/>
  <c r="Z1708" i="1"/>
  <c r="O1708" i="1"/>
  <c r="BF1708" i="1" s="1"/>
  <c r="L1708" i="1"/>
  <c r="AL1708" i="1" s="1"/>
  <c r="BW1707" i="1"/>
  <c r="BJ1707" i="1"/>
  <c r="BD1707" i="1"/>
  <c r="AP1707" i="1"/>
  <c r="AO1707" i="1"/>
  <c r="AW1707" i="1" s="1"/>
  <c r="AK1707" i="1"/>
  <c r="AJ1707" i="1"/>
  <c r="AH1707" i="1"/>
  <c r="AG1707" i="1"/>
  <c r="AF1707" i="1"/>
  <c r="AC1707" i="1"/>
  <c r="AB1707" i="1"/>
  <c r="Z1707" i="1"/>
  <c r="O1707" i="1"/>
  <c r="BF1707" i="1" s="1"/>
  <c r="L1707" i="1"/>
  <c r="AL1707" i="1" s="1"/>
  <c r="BW1706" i="1"/>
  <c r="BJ1706" i="1"/>
  <c r="BD1706" i="1"/>
  <c r="AP1706" i="1"/>
  <c r="AX1706" i="1" s="1"/>
  <c r="AO1706" i="1"/>
  <c r="AW1706" i="1" s="1"/>
  <c r="AK1706" i="1"/>
  <c r="AJ1706" i="1"/>
  <c r="AH1706" i="1"/>
  <c r="AG1706" i="1"/>
  <c r="AF1706" i="1"/>
  <c r="AC1706" i="1"/>
  <c r="AB1706" i="1"/>
  <c r="Z1706" i="1"/>
  <c r="O1706" i="1"/>
  <c r="BF1706" i="1" s="1"/>
  <c r="L1706" i="1"/>
  <c r="BW1705" i="1"/>
  <c r="BJ1705" i="1"/>
  <c r="BD1705" i="1"/>
  <c r="AP1705" i="1"/>
  <c r="AO1705" i="1"/>
  <c r="AW1705" i="1" s="1"/>
  <c r="AK1705" i="1"/>
  <c r="AJ1705" i="1"/>
  <c r="AH1705" i="1"/>
  <c r="AG1705" i="1"/>
  <c r="AF1705" i="1"/>
  <c r="AC1705" i="1"/>
  <c r="AB1705" i="1"/>
  <c r="Z1705" i="1"/>
  <c r="O1705" i="1"/>
  <c r="BF1705" i="1" s="1"/>
  <c r="L1705" i="1"/>
  <c r="AL1705" i="1" s="1"/>
  <c r="BW1704" i="1"/>
  <c r="BJ1704" i="1"/>
  <c r="BD1704" i="1"/>
  <c r="AP1704" i="1"/>
  <c r="AX1704" i="1" s="1"/>
  <c r="AO1704" i="1"/>
  <c r="AK1704" i="1"/>
  <c r="AJ1704" i="1"/>
  <c r="AH1704" i="1"/>
  <c r="AG1704" i="1"/>
  <c r="AF1704" i="1"/>
  <c r="AC1704" i="1"/>
  <c r="AB1704" i="1"/>
  <c r="Z1704" i="1"/>
  <c r="O1704" i="1"/>
  <c r="BF1704" i="1" s="1"/>
  <c r="L1704" i="1"/>
  <c r="AL1704" i="1" s="1"/>
  <c r="BW1703" i="1"/>
  <c r="BJ1703" i="1"/>
  <c r="BD1703" i="1"/>
  <c r="AP1703" i="1"/>
  <c r="AX1703" i="1" s="1"/>
  <c r="AO1703" i="1"/>
  <c r="AW1703" i="1" s="1"/>
  <c r="AK1703" i="1"/>
  <c r="AJ1703" i="1"/>
  <c r="AH1703" i="1"/>
  <c r="AG1703" i="1"/>
  <c r="AF1703" i="1"/>
  <c r="AC1703" i="1"/>
  <c r="AB1703" i="1"/>
  <c r="Z1703" i="1"/>
  <c r="O1703" i="1"/>
  <c r="BF1703" i="1" s="1"/>
  <c r="L1703" i="1"/>
  <c r="AL1703" i="1" s="1"/>
  <c r="BW1702" i="1"/>
  <c r="BJ1702" i="1"/>
  <c r="BD1702" i="1"/>
  <c r="AP1702" i="1"/>
  <c r="AO1702" i="1"/>
  <c r="AW1702" i="1" s="1"/>
  <c r="AK1702" i="1"/>
  <c r="AJ1702" i="1"/>
  <c r="AH1702" i="1"/>
  <c r="AG1702" i="1"/>
  <c r="AF1702" i="1"/>
  <c r="AC1702" i="1"/>
  <c r="AB1702" i="1"/>
  <c r="Z1702" i="1"/>
  <c r="O1702" i="1"/>
  <c r="L1702" i="1"/>
  <c r="AL1702" i="1" s="1"/>
  <c r="BW1700" i="1"/>
  <c r="BJ1700" i="1"/>
  <c r="BD1700" i="1"/>
  <c r="AP1700" i="1"/>
  <c r="AO1700" i="1"/>
  <c r="AK1700" i="1"/>
  <c r="AJ1700" i="1"/>
  <c r="AH1700" i="1"/>
  <c r="AG1700" i="1"/>
  <c r="AF1700" i="1"/>
  <c r="AC1700" i="1"/>
  <c r="AB1700" i="1"/>
  <c r="Z1700" i="1"/>
  <c r="O1700" i="1"/>
  <c r="BF1700" i="1" s="1"/>
  <c r="L1700" i="1"/>
  <c r="AL1700" i="1" s="1"/>
  <c r="BW1699" i="1"/>
  <c r="BJ1699" i="1"/>
  <c r="Z1699" i="1" s="1"/>
  <c r="BD1699" i="1"/>
  <c r="AP1699" i="1"/>
  <c r="BI1699" i="1" s="1"/>
  <c r="AO1699" i="1"/>
  <c r="AK1699" i="1"/>
  <c r="AJ1699" i="1"/>
  <c r="AH1699" i="1"/>
  <c r="AG1699" i="1"/>
  <c r="AF1699" i="1"/>
  <c r="AE1699" i="1"/>
  <c r="AD1699" i="1"/>
  <c r="AC1699" i="1"/>
  <c r="AB1699" i="1"/>
  <c r="O1699" i="1"/>
  <c r="BF1699" i="1" s="1"/>
  <c r="L1699" i="1"/>
  <c r="AL1699" i="1" s="1"/>
  <c r="BW1698" i="1"/>
  <c r="BJ1698" i="1"/>
  <c r="BD1698" i="1"/>
  <c r="AP1698" i="1"/>
  <c r="K1698" i="1" s="1"/>
  <c r="AO1698" i="1"/>
  <c r="AW1698" i="1" s="1"/>
  <c r="AK1698" i="1"/>
  <c r="AJ1698" i="1"/>
  <c r="AH1698" i="1"/>
  <c r="AG1698" i="1"/>
  <c r="AF1698" i="1"/>
  <c r="AC1698" i="1"/>
  <c r="AB1698" i="1"/>
  <c r="Z1698" i="1"/>
  <c r="O1698" i="1"/>
  <c r="BF1698" i="1" s="1"/>
  <c r="L1698" i="1"/>
  <c r="AL1698" i="1" s="1"/>
  <c r="BW1696" i="1"/>
  <c r="BJ1696" i="1"/>
  <c r="BD1696" i="1"/>
  <c r="AP1696" i="1"/>
  <c r="AO1696" i="1"/>
  <c r="AW1696" i="1" s="1"/>
  <c r="AK1696" i="1"/>
  <c r="AJ1696" i="1"/>
  <c r="AH1696" i="1"/>
  <c r="AG1696" i="1"/>
  <c r="AF1696" i="1"/>
  <c r="AC1696" i="1"/>
  <c r="AB1696" i="1"/>
  <c r="Z1696" i="1"/>
  <c r="O1696" i="1"/>
  <c r="BF1696" i="1" s="1"/>
  <c r="L1696" i="1"/>
  <c r="BW1694" i="1"/>
  <c r="BJ1694" i="1"/>
  <c r="BD1694" i="1"/>
  <c r="AP1694" i="1"/>
  <c r="AO1694" i="1"/>
  <c r="AK1694" i="1"/>
  <c r="AJ1694" i="1"/>
  <c r="AH1694" i="1"/>
  <c r="AG1694" i="1"/>
  <c r="AF1694" i="1"/>
  <c r="AC1694" i="1"/>
  <c r="AB1694" i="1"/>
  <c r="Z1694" i="1"/>
  <c r="O1694" i="1"/>
  <c r="BF1694" i="1" s="1"/>
  <c r="L1694" i="1"/>
  <c r="BW1692" i="1"/>
  <c r="BJ1692" i="1"/>
  <c r="BD1692" i="1"/>
  <c r="AP1692" i="1"/>
  <c r="AO1692" i="1"/>
  <c r="AW1692" i="1" s="1"/>
  <c r="AK1692" i="1"/>
  <c r="AJ1692" i="1"/>
  <c r="AH1692" i="1"/>
  <c r="AG1692" i="1"/>
  <c r="AF1692" i="1"/>
  <c r="AC1692" i="1"/>
  <c r="AB1692" i="1"/>
  <c r="Z1692" i="1"/>
  <c r="O1692" i="1"/>
  <c r="BF1692" i="1" s="1"/>
  <c r="L1692" i="1"/>
  <c r="BW1690" i="1"/>
  <c r="BJ1690" i="1"/>
  <c r="BD1690" i="1"/>
  <c r="AP1690" i="1"/>
  <c r="AX1690" i="1" s="1"/>
  <c r="AO1690" i="1"/>
  <c r="AW1690" i="1" s="1"/>
  <c r="AK1690" i="1"/>
  <c r="AJ1690" i="1"/>
  <c r="AH1690" i="1"/>
  <c r="AG1690" i="1"/>
  <c r="AF1690" i="1"/>
  <c r="AC1690" i="1"/>
  <c r="AB1690" i="1"/>
  <c r="Z1690" i="1"/>
  <c r="O1690" i="1"/>
  <c r="BF1690" i="1" s="1"/>
  <c r="L1690" i="1"/>
  <c r="BW1688" i="1"/>
  <c r="BJ1688" i="1"/>
  <c r="BD1688" i="1"/>
  <c r="AP1688" i="1"/>
  <c r="K1688" i="1" s="1"/>
  <c r="AO1688" i="1"/>
  <c r="BH1688" i="1" s="1"/>
  <c r="AD1688" i="1" s="1"/>
  <c r="AK1688" i="1"/>
  <c r="AJ1688" i="1"/>
  <c r="AH1688" i="1"/>
  <c r="AG1688" i="1"/>
  <c r="AF1688" i="1"/>
  <c r="AC1688" i="1"/>
  <c r="AB1688" i="1"/>
  <c r="Z1688" i="1"/>
  <c r="O1688" i="1"/>
  <c r="BF1688" i="1" s="1"/>
  <c r="L1688" i="1"/>
  <c r="BW1686" i="1"/>
  <c r="BJ1686" i="1"/>
  <c r="BD1686" i="1"/>
  <c r="AP1686" i="1"/>
  <c r="AO1686" i="1"/>
  <c r="AK1686" i="1"/>
  <c r="AJ1686" i="1"/>
  <c r="AH1686" i="1"/>
  <c r="AG1686" i="1"/>
  <c r="AF1686" i="1"/>
  <c r="AC1686" i="1"/>
  <c r="AB1686" i="1"/>
  <c r="Z1686" i="1"/>
  <c r="O1686" i="1"/>
  <c r="BF1686" i="1" s="1"/>
  <c r="L1686" i="1"/>
  <c r="AL1686" i="1" s="1"/>
  <c r="BW1684" i="1"/>
  <c r="BJ1684" i="1"/>
  <c r="BD1684" i="1"/>
  <c r="AP1684" i="1"/>
  <c r="AX1684" i="1" s="1"/>
  <c r="AO1684" i="1"/>
  <c r="AW1684" i="1" s="1"/>
  <c r="AK1684" i="1"/>
  <c r="AJ1684" i="1"/>
  <c r="AH1684" i="1"/>
  <c r="AG1684" i="1"/>
  <c r="AF1684" i="1"/>
  <c r="AC1684" i="1"/>
  <c r="AB1684" i="1"/>
  <c r="Z1684" i="1"/>
  <c r="O1684" i="1"/>
  <c r="BF1684" i="1" s="1"/>
  <c r="L1684" i="1"/>
  <c r="BW1682" i="1"/>
  <c r="BJ1682" i="1"/>
  <c r="BD1682" i="1"/>
  <c r="AP1682" i="1"/>
  <c r="AX1682" i="1" s="1"/>
  <c r="AO1682" i="1"/>
  <c r="AW1682" i="1" s="1"/>
  <c r="AK1682" i="1"/>
  <c r="AJ1682" i="1"/>
  <c r="AH1682" i="1"/>
  <c r="AG1682" i="1"/>
  <c r="AF1682" i="1"/>
  <c r="AC1682" i="1"/>
  <c r="AB1682" i="1"/>
  <c r="Z1682" i="1"/>
  <c r="O1682" i="1"/>
  <c r="BF1682" i="1" s="1"/>
  <c r="L1682" i="1"/>
  <c r="BW1681" i="1"/>
  <c r="BJ1681" i="1"/>
  <c r="BD1681" i="1"/>
  <c r="AP1681" i="1"/>
  <c r="AX1681" i="1" s="1"/>
  <c r="AO1681" i="1"/>
  <c r="AW1681" i="1" s="1"/>
  <c r="AK1681" i="1"/>
  <c r="AJ1681" i="1"/>
  <c r="AH1681" i="1"/>
  <c r="AG1681" i="1"/>
  <c r="AF1681" i="1"/>
  <c r="AC1681" i="1"/>
  <c r="AB1681" i="1"/>
  <c r="Z1681" i="1"/>
  <c r="O1681" i="1"/>
  <c r="BF1681" i="1" s="1"/>
  <c r="L1681" i="1"/>
  <c r="AL1681" i="1" s="1"/>
  <c r="BW1680" i="1"/>
  <c r="BJ1680" i="1"/>
  <c r="BD1680" i="1"/>
  <c r="AP1680" i="1"/>
  <c r="AX1680" i="1" s="1"/>
  <c r="AO1680" i="1"/>
  <c r="AK1680" i="1"/>
  <c r="AJ1680" i="1"/>
  <c r="AH1680" i="1"/>
  <c r="AG1680" i="1"/>
  <c r="AF1680" i="1"/>
  <c r="AC1680" i="1"/>
  <c r="AB1680" i="1"/>
  <c r="Z1680" i="1"/>
  <c r="O1680" i="1"/>
  <c r="BF1680" i="1" s="1"/>
  <c r="L1680" i="1"/>
  <c r="BW1679" i="1"/>
  <c r="BJ1679" i="1"/>
  <c r="BD1679" i="1"/>
  <c r="AP1679" i="1"/>
  <c r="AX1679" i="1" s="1"/>
  <c r="AO1679" i="1"/>
  <c r="AW1679" i="1" s="1"/>
  <c r="AK1679" i="1"/>
  <c r="AJ1679" i="1"/>
  <c r="AH1679" i="1"/>
  <c r="AG1679" i="1"/>
  <c r="AF1679" i="1"/>
  <c r="AC1679" i="1"/>
  <c r="AB1679" i="1"/>
  <c r="Z1679" i="1"/>
  <c r="O1679" i="1"/>
  <c r="BF1679" i="1" s="1"/>
  <c r="L1679" i="1"/>
  <c r="BW1678" i="1"/>
  <c r="BJ1678" i="1"/>
  <c r="BD1678" i="1"/>
  <c r="AP1678" i="1"/>
  <c r="AO1678" i="1"/>
  <c r="AW1678" i="1" s="1"/>
  <c r="AK1678" i="1"/>
  <c r="AJ1678" i="1"/>
  <c r="AH1678" i="1"/>
  <c r="AG1678" i="1"/>
  <c r="AF1678" i="1"/>
  <c r="AC1678" i="1"/>
  <c r="AB1678" i="1"/>
  <c r="Z1678" i="1"/>
  <c r="O1678" i="1"/>
  <c r="BF1678" i="1" s="1"/>
  <c r="L1678" i="1"/>
  <c r="BW1677" i="1"/>
  <c r="BJ1677" i="1"/>
  <c r="BD1677" i="1"/>
  <c r="AP1677" i="1"/>
  <c r="AO1677" i="1"/>
  <c r="AK1677" i="1"/>
  <c r="AJ1677" i="1"/>
  <c r="AH1677" i="1"/>
  <c r="AG1677" i="1"/>
  <c r="AF1677" i="1"/>
  <c r="AC1677" i="1"/>
  <c r="AB1677" i="1"/>
  <c r="Z1677" i="1"/>
  <c r="O1677" i="1"/>
  <c r="BF1677" i="1" s="1"/>
  <c r="L1677" i="1"/>
  <c r="BW1676" i="1"/>
  <c r="BJ1676" i="1"/>
  <c r="BD1676" i="1"/>
  <c r="AP1676" i="1"/>
  <c r="K1676" i="1" s="1"/>
  <c r="AO1676" i="1"/>
  <c r="AW1676" i="1" s="1"/>
  <c r="AK1676" i="1"/>
  <c r="AJ1676" i="1"/>
  <c r="AH1676" i="1"/>
  <c r="AG1676" i="1"/>
  <c r="AF1676" i="1"/>
  <c r="AC1676" i="1"/>
  <c r="AB1676" i="1"/>
  <c r="Z1676" i="1"/>
  <c r="O1676" i="1"/>
  <c r="BF1676" i="1" s="1"/>
  <c r="L1676" i="1"/>
  <c r="BW1675" i="1"/>
  <c r="BJ1675" i="1"/>
  <c r="BD1675" i="1"/>
  <c r="AP1675" i="1"/>
  <c r="AX1675" i="1" s="1"/>
  <c r="AO1675" i="1"/>
  <c r="AW1675" i="1" s="1"/>
  <c r="AK1675" i="1"/>
  <c r="AJ1675" i="1"/>
  <c r="AH1675" i="1"/>
  <c r="AG1675" i="1"/>
  <c r="AF1675" i="1"/>
  <c r="AC1675" i="1"/>
  <c r="AB1675" i="1"/>
  <c r="Z1675" i="1"/>
  <c r="O1675" i="1"/>
  <c r="BF1675" i="1" s="1"/>
  <c r="L1675" i="1"/>
  <c r="BW1673" i="1"/>
  <c r="BJ1673" i="1"/>
  <c r="Z1673" i="1" s="1"/>
  <c r="BD1673" i="1"/>
  <c r="AP1673" i="1"/>
  <c r="AO1673" i="1"/>
  <c r="AK1673" i="1"/>
  <c r="AJ1673" i="1"/>
  <c r="AH1673" i="1"/>
  <c r="AG1673" i="1"/>
  <c r="AF1673" i="1"/>
  <c r="AE1673" i="1"/>
  <c r="AD1673" i="1"/>
  <c r="AC1673" i="1"/>
  <c r="AB1673" i="1"/>
  <c r="O1673" i="1"/>
  <c r="BF1673" i="1" s="1"/>
  <c r="L1673" i="1"/>
  <c r="BW1672" i="1"/>
  <c r="BJ1672" i="1"/>
  <c r="BD1672" i="1"/>
  <c r="AP1672" i="1"/>
  <c r="AO1672" i="1"/>
  <c r="J1672" i="1" s="1"/>
  <c r="AK1672" i="1"/>
  <c r="AJ1672" i="1"/>
  <c r="AH1672" i="1"/>
  <c r="AG1672" i="1"/>
  <c r="AF1672" i="1"/>
  <c r="AC1672" i="1"/>
  <c r="AB1672" i="1"/>
  <c r="Z1672" i="1"/>
  <c r="O1672" i="1"/>
  <c r="BF1672" i="1" s="1"/>
  <c r="L1672" i="1"/>
  <c r="BW1671" i="1"/>
  <c r="BJ1671" i="1"/>
  <c r="BD1671" i="1"/>
  <c r="AP1671" i="1"/>
  <c r="BI1671" i="1" s="1"/>
  <c r="AE1671" i="1" s="1"/>
  <c r="AO1671" i="1"/>
  <c r="AK1671" i="1"/>
  <c r="AJ1671" i="1"/>
  <c r="AH1671" i="1"/>
  <c r="AG1671" i="1"/>
  <c r="AF1671" i="1"/>
  <c r="AC1671" i="1"/>
  <c r="AB1671" i="1"/>
  <c r="Z1671" i="1"/>
  <c r="O1671" i="1"/>
  <c r="BF1671" i="1" s="1"/>
  <c r="L1671" i="1"/>
  <c r="BW1669" i="1"/>
  <c r="BJ1669" i="1"/>
  <c r="BD1669" i="1"/>
  <c r="AP1669" i="1"/>
  <c r="AO1669" i="1"/>
  <c r="AK1669" i="1"/>
  <c r="AJ1669" i="1"/>
  <c r="AH1669" i="1"/>
  <c r="AG1669" i="1"/>
  <c r="AF1669" i="1"/>
  <c r="AC1669" i="1"/>
  <c r="AB1669" i="1"/>
  <c r="Z1669" i="1"/>
  <c r="O1669" i="1"/>
  <c r="BF1669" i="1" s="1"/>
  <c r="L1669" i="1"/>
  <c r="BW1668" i="1"/>
  <c r="BJ1668" i="1"/>
  <c r="BD1668" i="1"/>
  <c r="AP1668" i="1"/>
  <c r="AO1668" i="1"/>
  <c r="AK1668" i="1"/>
  <c r="AJ1668" i="1"/>
  <c r="AH1668" i="1"/>
  <c r="AG1668" i="1"/>
  <c r="AF1668" i="1"/>
  <c r="AC1668" i="1"/>
  <c r="AB1668" i="1"/>
  <c r="Z1668" i="1"/>
  <c r="O1668" i="1"/>
  <c r="L1668" i="1"/>
  <c r="BW1667" i="1"/>
  <c r="BJ1667" i="1"/>
  <c r="BD1667" i="1"/>
  <c r="AP1667" i="1"/>
  <c r="AX1667" i="1" s="1"/>
  <c r="AO1667" i="1"/>
  <c r="AK1667" i="1"/>
  <c r="AJ1667" i="1"/>
  <c r="AH1667" i="1"/>
  <c r="AG1667" i="1"/>
  <c r="AF1667" i="1"/>
  <c r="AC1667" i="1"/>
  <c r="AB1667" i="1"/>
  <c r="Z1667" i="1"/>
  <c r="O1667" i="1"/>
  <c r="BF1667" i="1" s="1"/>
  <c r="L1667" i="1"/>
  <c r="BW1666" i="1"/>
  <c r="BJ1666" i="1"/>
  <c r="BD1666" i="1"/>
  <c r="AP1666" i="1"/>
  <c r="AX1666" i="1" s="1"/>
  <c r="AO1666" i="1"/>
  <c r="AK1666" i="1"/>
  <c r="AJ1666" i="1"/>
  <c r="AH1666" i="1"/>
  <c r="AG1666" i="1"/>
  <c r="AF1666" i="1"/>
  <c r="AC1666" i="1"/>
  <c r="AB1666" i="1"/>
  <c r="Z1666" i="1"/>
  <c r="O1666" i="1"/>
  <c r="BF1666" i="1" s="1"/>
  <c r="L1666" i="1"/>
  <c r="BW1665" i="1"/>
  <c r="BJ1665" i="1"/>
  <c r="BD1665" i="1"/>
  <c r="AP1665" i="1"/>
  <c r="AO1665" i="1"/>
  <c r="AK1665" i="1"/>
  <c r="AJ1665" i="1"/>
  <c r="AH1665" i="1"/>
  <c r="AG1665" i="1"/>
  <c r="AF1665" i="1"/>
  <c r="AC1665" i="1"/>
  <c r="AB1665" i="1"/>
  <c r="Z1665" i="1"/>
  <c r="O1665" i="1"/>
  <c r="BF1665" i="1" s="1"/>
  <c r="L1665" i="1"/>
  <c r="BW1664" i="1"/>
  <c r="BJ1664" i="1"/>
  <c r="BD1664" i="1"/>
  <c r="AP1664" i="1"/>
  <c r="AO1664" i="1"/>
  <c r="AK1664" i="1"/>
  <c r="AJ1664" i="1"/>
  <c r="AH1664" i="1"/>
  <c r="AG1664" i="1"/>
  <c r="AF1664" i="1"/>
  <c r="AC1664" i="1"/>
  <c r="AB1664" i="1"/>
  <c r="Z1664" i="1"/>
  <c r="O1664" i="1"/>
  <c r="BF1664" i="1" s="1"/>
  <c r="L1664" i="1"/>
  <c r="BW1663" i="1"/>
  <c r="BJ1663" i="1"/>
  <c r="BD1663" i="1"/>
  <c r="AP1663" i="1"/>
  <c r="BI1663" i="1" s="1"/>
  <c r="AE1663" i="1" s="1"/>
  <c r="AO1663" i="1"/>
  <c r="J1663" i="1" s="1"/>
  <c r="AK1663" i="1"/>
  <c r="AJ1663" i="1"/>
  <c r="AH1663" i="1"/>
  <c r="AG1663" i="1"/>
  <c r="AF1663" i="1"/>
  <c r="AC1663" i="1"/>
  <c r="AB1663" i="1"/>
  <c r="Z1663" i="1"/>
  <c r="O1663" i="1"/>
  <c r="BF1663" i="1" s="1"/>
  <c r="L1663" i="1"/>
  <c r="BW1662" i="1"/>
  <c r="BJ1662" i="1"/>
  <c r="BD1662" i="1"/>
  <c r="AP1662" i="1"/>
  <c r="AX1662" i="1" s="1"/>
  <c r="AO1662" i="1"/>
  <c r="BH1662" i="1" s="1"/>
  <c r="AD1662" i="1" s="1"/>
  <c r="AK1662" i="1"/>
  <c r="AJ1662" i="1"/>
  <c r="AH1662" i="1"/>
  <c r="AG1662" i="1"/>
  <c r="AF1662" i="1"/>
  <c r="AC1662" i="1"/>
  <c r="AB1662" i="1"/>
  <c r="Z1662" i="1"/>
  <c r="O1662" i="1"/>
  <c r="BF1662" i="1" s="1"/>
  <c r="L1662" i="1"/>
  <c r="BW1661" i="1"/>
  <c r="BJ1661" i="1"/>
  <c r="BD1661" i="1"/>
  <c r="AP1661" i="1"/>
  <c r="BI1661" i="1" s="1"/>
  <c r="AE1661" i="1" s="1"/>
  <c r="AO1661" i="1"/>
  <c r="AK1661" i="1"/>
  <c r="AJ1661" i="1"/>
  <c r="AH1661" i="1"/>
  <c r="AG1661" i="1"/>
  <c r="AF1661" i="1"/>
  <c r="AC1661" i="1"/>
  <c r="AB1661" i="1"/>
  <c r="Z1661" i="1"/>
  <c r="O1661" i="1"/>
  <c r="BF1661" i="1" s="1"/>
  <c r="L1661" i="1"/>
  <c r="BW1660" i="1"/>
  <c r="BJ1660" i="1"/>
  <c r="BD1660" i="1"/>
  <c r="AP1660" i="1"/>
  <c r="BI1660" i="1" s="1"/>
  <c r="AE1660" i="1" s="1"/>
  <c r="AO1660" i="1"/>
  <c r="AW1660" i="1" s="1"/>
  <c r="AK1660" i="1"/>
  <c r="AJ1660" i="1"/>
  <c r="AH1660" i="1"/>
  <c r="AG1660" i="1"/>
  <c r="AF1660" i="1"/>
  <c r="AC1660" i="1"/>
  <c r="AB1660" i="1"/>
  <c r="Z1660" i="1"/>
  <c r="O1660" i="1"/>
  <c r="BF1660" i="1" s="1"/>
  <c r="L1660" i="1"/>
  <c r="AL1660" i="1" s="1"/>
  <c r="BW1659" i="1"/>
  <c r="BJ1659" i="1"/>
  <c r="BD1659" i="1"/>
  <c r="AP1659" i="1"/>
  <c r="AX1659" i="1" s="1"/>
  <c r="AO1659" i="1"/>
  <c r="BH1659" i="1" s="1"/>
  <c r="AD1659" i="1" s="1"/>
  <c r="AK1659" i="1"/>
  <c r="AJ1659" i="1"/>
  <c r="AH1659" i="1"/>
  <c r="AG1659" i="1"/>
  <c r="AF1659" i="1"/>
  <c r="AC1659" i="1"/>
  <c r="AB1659" i="1"/>
  <c r="Z1659" i="1"/>
  <c r="O1659" i="1"/>
  <c r="BF1659" i="1" s="1"/>
  <c r="L1659" i="1"/>
  <c r="BW1658" i="1"/>
  <c r="BJ1658" i="1"/>
  <c r="BD1658" i="1"/>
  <c r="AP1658" i="1"/>
  <c r="BI1658" i="1" s="1"/>
  <c r="AE1658" i="1" s="1"/>
  <c r="AO1658" i="1"/>
  <c r="AW1658" i="1" s="1"/>
  <c r="AK1658" i="1"/>
  <c r="AJ1658" i="1"/>
  <c r="AH1658" i="1"/>
  <c r="AG1658" i="1"/>
  <c r="AF1658" i="1"/>
  <c r="AC1658" i="1"/>
  <c r="AB1658" i="1"/>
  <c r="Z1658" i="1"/>
  <c r="O1658" i="1"/>
  <c r="BF1658" i="1" s="1"/>
  <c r="L1658" i="1"/>
  <c r="BW1657" i="1"/>
  <c r="BJ1657" i="1"/>
  <c r="BD1657" i="1"/>
  <c r="AP1657" i="1"/>
  <c r="BI1657" i="1" s="1"/>
  <c r="AE1657" i="1" s="1"/>
  <c r="AO1657" i="1"/>
  <c r="AW1657" i="1" s="1"/>
  <c r="AK1657" i="1"/>
  <c r="AJ1657" i="1"/>
  <c r="AH1657" i="1"/>
  <c r="AG1657" i="1"/>
  <c r="AF1657" i="1"/>
  <c r="AC1657" i="1"/>
  <c r="AB1657" i="1"/>
  <c r="Z1657" i="1"/>
  <c r="O1657" i="1"/>
  <c r="BF1657" i="1" s="1"/>
  <c r="L1657" i="1"/>
  <c r="AL1657" i="1" s="1"/>
  <c r="BW1656" i="1"/>
  <c r="BJ1656" i="1"/>
  <c r="BD1656" i="1"/>
  <c r="AP1656" i="1"/>
  <c r="AO1656" i="1"/>
  <c r="BH1656" i="1" s="1"/>
  <c r="AD1656" i="1" s="1"/>
  <c r="AK1656" i="1"/>
  <c r="AJ1656" i="1"/>
  <c r="AH1656" i="1"/>
  <c r="AG1656" i="1"/>
  <c r="AF1656" i="1"/>
  <c r="AC1656" i="1"/>
  <c r="AB1656" i="1"/>
  <c r="Z1656" i="1"/>
  <c r="O1656" i="1"/>
  <c r="BF1656" i="1" s="1"/>
  <c r="L1656" i="1"/>
  <c r="BW1655" i="1"/>
  <c r="BJ1655" i="1"/>
  <c r="BD1655" i="1"/>
  <c r="AP1655" i="1"/>
  <c r="K1655" i="1" s="1"/>
  <c r="AO1655" i="1"/>
  <c r="AW1655" i="1" s="1"/>
  <c r="AK1655" i="1"/>
  <c r="AJ1655" i="1"/>
  <c r="AH1655" i="1"/>
  <c r="AG1655" i="1"/>
  <c r="AF1655" i="1"/>
  <c r="AC1655" i="1"/>
  <c r="AB1655" i="1"/>
  <c r="Z1655" i="1"/>
  <c r="O1655" i="1"/>
  <c r="BF1655" i="1" s="1"/>
  <c r="L1655" i="1"/>
  <c r="BW1654" i="1"/>
  <c r="BJ1654" i="1"/>
  <c r="BD1654" i="1"/>
  <c r="AP1654" i="1"/>
  <c r="BI1654" i="1" s="1"/>
  <c r="AE1654" i="1" s="1"/>
  <c r="AO1654" i="1"/>
  <c r="AW1654" i="1" s="1"/>
  <c r="AK1654" i="1"/>
  <c r="AJ1654" i="1"/>
  <c r="AH1654" i="1"/>
  <c r="AG1654" i="1"/>
  <c r="AF1654" i="1"/>
  <c r="AC1654" i="1"/>
  <c r="AB1654" i="1"/>
  <c r="Z1654" i="1"/>
  <c r="O1654" i="1"/>
  <c r="BF1654" i="1" s="1"/>
  <c r="L1654" i="1"/>
  <c r="AL1654" i="1" s="1"/>
  <c r="BW1653" i="1"/>
  <c r="BJ1653" i="1"/>
  <c r="BD1653" i="1"/>
  <c r="AP1653" i="1"/>
  <c r="AO1653" i="1"/>
  <c r="BH1653" i="1" s="1"/>
  <c r="AD1653" i="1" s="1"/>
  <c r="AK1653" i="1"/>
  <c r="AJ1653" i="1"/>
  <c r="AH1653" i="1"/>
  <c r="AG1653" i="1"/>
  <c r="AF1653" i="1"/>
  <c r="AC1653" i="1"/>
  <c r="AB1653" i="1"/>
  <c r="Z1653" i="1"/>
  <c r="O1653" i="1"/>
  <c r="BF1653" i="1" s="1"/>
  <c r="L1653" i="1"/>
  <c r="BW1652" i="1"/>
  <c r="BJ1652" i="1"/>
  <c r="BD1652" i="1"/>
  <c r="AP1652" i="1"/>
  <c r="K1652" i="1" s="1"/>
  <c r="AO1652" i="1"/>
  <c r="AW1652" i="1" s="1"/>
  <c r="AK1652" i="1"/>
  <c r="AJ1652" i="1"/>
  <c r="AH1652" i="1"/>
  <c r="AG1652" i="1"/>
  <c r="AF1652" i="1"/>
  <c r="AC1652" i="1"/>
  <c r="AB1652" i="1"/>
  <c r="Z1652" i="1"/>
  <c r="O1652" i="1"/>
  <c r="BF1652" i="1" s="1"/>
  <c r="L1652" i="1"/>
  <c r="BW1651" i="1"/>
  <c r="BJ1651" i="1"/>
  <c r="BD1651" i="1"/>
  <c r="AP1651" i="1"/>
  <c r="AX1651" i="1" s="1"/>
  <c r="AO1651" i="1"/>
  <c r="AW1651" i="1" s="1"/>
  <c r="AK1651" i="1"/>
  <c r="AJ1651" i="1"/>
  <c r="AH1651" i="1"/>
  <c r="AG1651" i="1"/>
  <c r="AF1651" i="1"/>
  <c r="AC1651" i="1"/>
  <c r="AB1651" i="1"/>
  <c r="Z1651" i="1"/>
  <c r="O1651" i="1"/>
  <c r="BF1651" i="1" s="1"/>
  <c r="L1651" i="1"/>
  <c r="AL1651" i="1" s="1"/>
  <c r="BW1649" i="1"/>
  <c r="BJ1649" i="1"/>
  <c r="BD1649" i="1"/>
  <c r="AP1649" i="1"/>
  <c r="AX1649" i="1" s="1"/>
  <c r="AO1649" i="1"/>
  <c r="AK1649" i="1"/>
  <c r="AJ1649" i="1"/>
  <c r="AH1649" i="1"/>
  <c r="AG1649" i="1"/>
  <c r="AF1649" i="1"/>
  <c r="AC1649" i="1"/>
  <c r="AB1649" i="1"/>
  <c r="Z1649" i="1"/>
  <c r="O1649" i="1"/>
  <c r="BF1649" i="1" s="1"/>
  <c r="L1649" i="1"/>
  <c r="BW1648" i="1"/>
  <c r="BJ1648" i="1"/>
  <c r="BD1648" i="1"/>
  <c r="AP1648" i="1"/>
  <c r="AO1648" i="1"/>
  <c r="J1648" i="1" s="1"/>
  <c r="AK1648" i="1"/>
  <c r="AJ1648" i="1"/>
  <c r="AH1648" i="1"/>
  <c r="AG1648" i="1"/>
  <c r="AF1648" i="1"/>
  <c r="AC1648" i="1"/>
  <c r="AB1648" i="1"/>
  <c r="Z1648" i="1"/>
  <c r="O1648" i="1"/>
  <c r="BF1648" i="1" s="1"/>
  <c r="L1648" i="1"/>
  <c r="BW1647" i="1"/>
  <c r="BJ1647" i="1"/>
  <c r="BD1647" i="1"/>
  <c r="AP1647" i="1"/>
  <c r="BI1647" i="1" s="1"/>
  <c r="AE1647" i="1" s="1"/>
  <c r="AO1647" i="1"/>
  <c r="AK1647" i="1"/>
  <c r="AJ1647" i="1"/>
  <c r="AH1647" i="1"/>
  <c r="AG1647" i="1"/>
  <c r="AF1647" i="1"/>
  <c r="AC1647" i="1"/>
  <c r="AB1647" i="1"/>
  <c r="Z1647" i="1"/>
  <c r="O1647" i="1"/>
  <c r="BF1647" i="1" s="1"/>
  <c r="L1647" i="1"/>
  <c r="BW1646" i="1"/>
  <c r="BJ1646" i="1"/>
  <c r="BD1646" i="1"/>
  <c r="AP1646" i="1"/>
  <c r="BI1646" i="1" s="1"/>
  <c r="AE1646" i="1" s="1"/>
  <c r="AO1646" i="1"/>
  <c r="AW1646" i="1" s="1"/>
  <c r="AK1646" i="1"/>
  <c r="AJ1646" i="1"/>
  <c r="AH1646" i="1"/>
  <c r="AG1646" i="1"/>
  <c r="AF1646" i="1"/>
  <c r="AC1646" i="1"/>
  <c r="AB1646" i="1"/>
  <c r="Z1646" i="1"/>
  <c r="O1646" i="1"/>
  <c r="BF1646" i="1" s="1"/>
  <c r="L1646" i="1"/>
  <c r="BW1645" i="1"/>
  <c r="BJ1645" i="1"/>
  <c r="BD1645" i="1"/>
  <c r="AP1645" i="1"/>
  <c r="AX1645" i="1" s="1"/>
  <c r="AO1645" i="1"/>
  <c r="BH1645" i="1" s="1"/>
  <c r="AD1645" i="1" s="1"/>
  <c r="AK1645" i="1"/>
  <c r="AJ1645" i="1"/>
  <c r="AH1645" i="1"/>
  <c r="AG1645" i="1"/>
  <c r="AF1645" i="1"/>
  <c r="AC1645" i="1"/>
  <c r="AB1645" i="1"/>
  <c r="Z1645" i="1"/>
  <c r="O1645" i="1"/>
  <c r="BF1645" i="1" s="1"/>
  <c r="L1645" i="1"/>
  <c r="BW1644" i="1"/>
  <c r="BJ1644" i="1"/>
  <c r="BD1644" i="1"/>
  <c r="AP1644" i="1"/>
  <c r="AO1644" i="1"/>
  <c r="AW1644" i="1" s="1"/>
  <c r="AK1644" i="1"/>
  <c r="AJ1644" i="1"/>
  <c r="AH1644" i="1"/>
  <c r="AG1644" i="1"/>
  <c r="AF1644" i="1"/>
  <c r="AC1644" i="1"/>
  <c r="AB1644" i="1"/>
  <c r="Z1644" i="1"/>
  <c r="O1644" i="1"/>
  <c r="BF1644" i="1" s="1"/>
  <c r="L1644" i="1"/>
  <c r="BW1643" i="1"/>
  <c r="BJ1643" i="1"/>
  <c r="BD1643" i="1"/>
  <c r="AP1643" i="1"/>
  <c r="BI1643" i="1" s="1"/>
  <c r="AE1643" i="1" s="1"/>
  <c r="AO1643" i="1"/>
  <c r="AW1643" i="1" s="1"/>
  <c r="AK1643" i="1"/>
  <c r="AJ1643" i="1"/>
  <c r="AH1643" i="1"/>
  <c r="AG1643" i="1"/>
  <c r="AF1643" i="1"/>
  <c r="AC1643" i="1"/>
  <c r="AB1643" i="1"/>
  <c r="Z1643" i="1"/>
  <c r="O1643" i="1"/>
  <c r="BF1643" i="1" s="1"/>
  <c r="L1643" i="1"/>
  <c r="AL1643" i="1" s="1"/>
  <c r="BW1641" i="1"/>
  <c r="BJ1641" i="1"/>
  <c r="BD1641" i="1"/>
  <c r="AP1641" i="1"/>
  <c r="K1641" i="1" s="1"/>
  <c r="AO1641" i="1"/>
  <c r="AW1641" i="1" s="1"/>
  <c r="AK1641" i="1"/>
  <c r="AJ1641" i="1"/>
  <c r="AH1641" i="1"/>
  <c r="AG1641" i="1"/>
  <c r="AF1641" i="1"/>
  <c r="AC1641" i="1"/>
  <c r="AB1641" i="1"/>
  <c r="Z1641" i="1"/>
  <c r="O1641" i="1"/>
  <c r="BF1641" i="1" s="1"/>
  <c r="L1641" i="1"/>
  <c r="AL1641" i="1" s="1"/>
  <c r="BW1640" i="1"/>
  <c r="BJ1640" i="1"/>
  <c r="BD1640" i="1"/>
  <c r="AP1640" i="1"/>
  <c r="AX1640" i="1" s="1"/>
  <c r="AO1640" i="1"/>
  <c r="BH1640" i="1" s="1"/>
  <c r="AD1640" i="1" s="1"/>
  <c r="AK1640" i="1"/>
  <c r="AJ1640" i="1"/>
  <c r="AH1640" i="1"/>
  <c r="AG1640" i="1"/>
  <c r="AF1640" i="1"/>
  <c r="AC1640" i="1"/>
  <c r="AB1640" i="1"/>
  <c r="Z1640" i="1"/>
  <c r="O1640" i="1"/>
  <c r="BF1640" i="1" s="1"/>
  <c r="L1640" i="1"/>
  <c r="BW1639" i="1"/>
  <c r="BJ1639" i="1"/>
  <c r="BD1639" i="1"/>
  <c r="AP1639" i="1"/>
  <c r="K1639" i="1" s="1"/>
  <c r="AO1639" i="1"/>
  <c r="AW1639" i="1" s="1"/>
  <c r="AK1639" i="1"/>
  <c r="AJ1639" i="1"/>
  <c r="AH1639" i="1"/>
  <c r="AG1639" i="1"/>
  <c r="AF1639" i="1"/>
  <c r="AC1639" i="1"/>
  <c r="AB1639" i="1"/>
  <c r="Z1639" i="1"/>
  <c r="O1639" i="1"/>
  <c r="BF1639" i="1" s="1"/>
  <c r="L1639" i="1"/>
  <c r="BW1638" i="1"/>
  <c r="BJ1638" i="1"/>
  <c r="BD1638" i="1"/>
  <c r="AP1638" i="1"/>
  <c r="AO1638" i="1"/>
  <c r="AW1638" i="1" s="1"/>
  <c r="AK1638" i="1"/>
  <c r="AJ1638" i="1"/>
  <c r="AH1638" i="1"/>
  <c r="AG1638" i="1"/>
  <c r="AF1638" i="1"/>
  <c r="AC1638" i="1"/>
  <c r="AB1638" i="1"/>
  <c r="Z1638" i="1"/>
  <c r="O1638" i="1"/>
  <c r="BF1638" i="1" s="1"/>
  <c r="L1638" i="1"/>
  <c r="AL1638" i="1" s="1"/>
  <c r="BW1637" i="1"/>
  <c r="BJ1637" i="1"/>
  <c r="BD1637" i="1"/>
  <c r="AP1637" i="1"/>
  <c r="AX1637" i="1" s="1"/>
  <c r="AO1637" i="1"/>
  <c r="BH1637" i="1" s="1"/>
  <c r="AD1637" i="1" s="1"/>
  <c r="AK1637" i="1"/>
  <c r="AJ1637" i="1"/>
  <c r="AH1637" i="1"/>
  <c r="AG1637" i="1"/>
  <c r="AF1637" i="1"/>
  <c r="AC1637" i="1"/>
  <c r="AB1637" i="1"/>
  <c r="Z1637" i="1"/>
  <c r="O1637" i="1"/>
  <c r="BF1637" i="1" s="1"/>
  <c r="L1637" i="1"/>
  <c r="BW1636" i="1"/>
  <c r="BJ1636" i="1"/>
  <c r="BD1636" i="1"/>
  <c r="AP1636" i="1"/>
  <c r="BI1636" i="1" s="1"/>
  <c r="AE1636" i="1" s="1"/>
  <c r="AO1636" i="1"/>
  <c r="AK1636" i="1"/>
  <c r="AJ1636" i="1"/>
  <c r="AH1636" i="1"/>
  <c r="AG1636" i="1"/>
  <c r="AF1636" i="1"/>
  <c r="AC1636" i="1"/>
  <c r="AB1636" i="1"/>
  <c r="Z1636" i="1"/>
  <c r="O1636" i="1"/>
  <c r="BF1636" i="1" s="1"/>
  <c r="L1636" i="1"/>
  <c r="BW1634" i="1"/>
  <c r="BJ1634" i="1"/>
  <c r="BD1634" i="1"/>
  <c r="AP1634" i="1"/>
  <c r="BI1634" i="1" s="1"/>
  <c r="AE1634" i="1" s="1"/>
  <c r="AO1634" i="1"/>
  <c r="AW1634" i="1" s="1"/>
  <c r="AK1634" i="1"/>
  <c r="AJ1634" i="1"/>
  <c r="AH1634" i="1"/>
  <c r="AG1634" i="1"/>
  <c r="AF1634" i="1"/>
  <c r="AC1634" i="1"/>
  <c r="AB1634" i="1"/>
  <c r="Z1634" i="1"/>
  <c r="O1634" i="1"/>
  <c r="BF1634" i="1" s="1"/>
  <c r="L1634" i="1"/>
  <c r="BW1633" i="1"/>
  <c r="BJ1633" i="1"/>
  <c r="BD1633" i="1"/>
  <c r="AP1633" i="1"/>
  <c r="BI1633" i="1" s="1"/>
  <c r="AE1633" i="1" s="1"/>
  <c r="AO1633" i="1"/>
  <c r="AW1633" i="1" s="1"/>
  <c r="AK1633" i="1"/>
  <c r="AJ1633" i="1"/>
  <c r="AH1633" i="1"/>
  <c r="AG1633" i="1"/>
  <c r="AF1633" i="1"/>
  <c r="AC1633" i="1"/>
  <c r="AB1633" i="1"/>
  <c r="Z1633" i="1"/>
  <c r="O1633" i="1"/>
  <c r="BF1633" i="1" s="1"/>
  <c r="L1633" i="1"/>
  <c r="AL1633" i="1" s="1"/>
  <c r="BW1632" i="1"/>
  <c r="BJ1632" i="1"/>
  <c r="BD1632" i="1"/>
  <c r="AP1632" i="1"/>
  <c r="K1632" i="1" s="1"/>
  <c r="AO1632" i="1"/>
  <c r="AK1632" i="1"/>
  <c r="AJ1632" i="1"/>
  <c r="AH1632" i="1"/>
  <c r="AG1632" i="1"/>
  <c r="AF1632" i="1"/>
  <c r="AC1632" i="1"/>
  <c r="AB1632" i="1"/>
  <c r="Z1632" i="1"/>
  <c r="O1632" i="1"/>
  <c r="BF1632" i="1" s="1"/>
  <c r="L1632" i="1"/>
  <c r="BW1631" i="1"/>
  <c r="BJ1631" i="1"/>
  <c r="BD1631" i="1"/>
  <c r="AP1631" i="1"/>
  <c r="AO1631" i="1"/>
  <c r="BH1631" i="1" s="1"/>
  <c r="AD1631" i="1" s="1"/>
  <c r="AK1631" i="1"/>
  <c r="AJ1631" i="1"/>
  <c r="AH1631" i="1"/>
  <c r="AG1631" i="1"/>
  <c r="AF1631" i="1"/>
  <c r="AC1631" i="1"/>
  <c r="AB1631" i="1"/>
  <c r="Z1631" i="1"/>
  <c r="O1631" i="1"/>
  <c r="BF1631" i="1" s="1"/>
  <c r="L1631" i="1"/>
  <c r="BW1630" i="1"/>
  <c r="BJ1630" i="1"/>
  <c r="BD1630" i="1"/>
  <c r="AP1630" i="1"/>
  <c r="BI1630" i="1" s="1"/>
  <c r="AE1630" i="1" s="1"/>
  <c r="AO1630" i="1"/>
  <c r="AK1630" i="1"/>
  <c r="AJ1630" i="1"/>
  <c r="AH1630" i="1"/>
  <c r="AG1630" i="1"/>
  <c r="AF1630" i="1"/>
  <c r="AC1630" i="1"/>
  <c r="AB1630" i="1"/>
  <c r="Z1630" i="1"/>
  <c r="O1630" i="1"/>
  <c r="BF1630" i="1" s="1"/>
  <c r="L1630" i="1"/>
  <c r="AL1630" i="1" s="1"/>
  <c r="BW1629" i="1"/>
  <c r="BJ1629" i="1"/>
  <c r="BD1629" i="1"/>
  <c r="AP1629" i="1"/>
  <c r="BI1629" i="1" s="1"/>
  <c r="AE1629" i="1" s="1"/>
  <c r="AO1629" i="1"/>
  <c r="J1629" i="1" s="1"/>
  <c r="AK1629" i="1"/>
  <c r="AJ1629" i="1"/>
  <c r="AH1629" i="1"/>
  <c r="AG1629" i="1"/>
  <c r="AF1629" i="1"/>
  <c r="AC1629" i="1"/>
  <c r="AB1629" i="1"/>
  <c r="Z1629" i="1"/>
  <c r="O1629" i="1"/>
  <c r="BF1629" i="1" s="1"/>
  <c r="L1629" i="1"/>
  <c r="BW1628" i="1"/>
  <c r="BJ1628" i="1"/>
  <c r="BD1628" i="1"/>
  <c r="AP1628" i="1"/>
  <c r="AO1628" i="1"/>
  <c r="BH1628" i="1" s="1"/>
  <c r="AD1628" i="1" s="1"/>
  <c r="AK1628" i="1"/>
  <c r="AJ1628" i="1"/>
  <c r="AH1628" i="1"/>
  <c r="AG1628" i="1"/>
  <c r="AF1628" i="1"/>
  <c r="AC1628" i="1"/>
  <c r="AB1628" i="1"/>
  <c r="Z1628" i="1"/>
  <c r="O1628" i="1"/>
  <c r="BF1628" i="1" s="1"/>
  <c r="L1628" i="1"/>
  <c r="BW1627" i="1"/>
  <c r="BJ1627" i="1"/>
  <c r="BD1627" i="1"/>
  <c r="AP1627" i="1"/>
  <c r="K1627" i="1" s="1"/>
  <c r="AO1627" i="1"/>
  <c r="J1627" i="1" s="1"/>
  <c r="AK1627" i="1"/>
  <c r="AJ1627" i="1"/>
  <c r="AH1627" i="1"/>
  <c r="AG1627" i="1"/>
  <c r="AF1627" i="1"/>
  <c r="AC1627" i="1"/>
  <c r="AB1627" i="1"/>
  <c r="Z1627" i="1"/>
  <c r="O1627" i="1"/>
  <c r="BF1627" i="1" s="1"/>
  <c r="L1627" i="1"/>
  <c r="AL1627" i="1" s="1"/>
  <c r="BW1626" i="1"/>
  <c r="BJ1626" i="1"/>
  <c r="BD1626" i="1"/>
  <c r="AP1626" i="1"/>
  <c r="K1626" i="1" s="1"/>
  <c r="AO1626" i="1"/>
  <c r="AK1626" i="1"/>
  <c r="AJ1626" i="1"/>
  <c r="AH1626" i="1"/>
  <c r="AG1626" i="1"/>
  <c r="AF1626" i="1"/>
  <c r="AC1626" i="1"/>
  <c r="AB1626" i="1"/>
  <c r="Z1626" i="1"/>
  <c r="O1626" i="1"/>
  <c r="BF1626" i="1" s="1"/>
  <c r="L1626" i="1"/>
  <c r="AL1626" i="1" s="1"/>
  <c r="BW1625" i="1"/>
  <c r="BJ1625" i="1"/>
  <c r="BD1625" i="1"/>
  <c r="AP1625" i="1"/>
  <c r="K1625" i="1" s="1"/>
  <c r="AO1625" i="1"/>
  <c r="AW1625" i="1" s="1"/>
  <c r="AK1625" i="1"/>
  <c r="AJ1625" i="1"/>
  <c r="AH1625" i="1"/>
  <c r="AG1625" i="1"/>
  <c r="AF1625" i="1"/>
  <c r="AC1625" i="1"/>
  <c r="AB1625" i="1"/>
  <c r="Z1625" i="1"/>
  <c r="O1625" i="1"/>
  <c r="BF1625" i="1" s="1"/>
  <c r="L1625" i="1"/>
  <c r="BW1624" i="1"/>
  <c r="BJ1624" i="1"/>
  <c r="BD1624" i="1"/>
  <c r="AP1624" i="1"/>
  <c r="BI1624" i="1" s="1"/>
  <c r="AE1624" i="1" s="1"/>
  <c r="AO1624" i="1"/>
  <c r="AW1624" i="1" s="1"/>
  <c r="AK1624" i="1"/>
  <c r="AJ1624" i="1"/>
  <c r="AH1624" i="1"/>
  <c r="AG1624" i="1"/>
  <c r="AF1624" i="1"/>
  <c r="AC1624" i="1"/>
  <c r="AB1624" i="1"/>
  <c r="Z1624" i="1"/>
  <c r="O1624" i="1"/>
  <c r="BF1624" i="1" s="1"/>
  <c r="L1624" i="1"/>
  <c r="BW1623" i="1"/>
  <c r="BJ1623" i="1"/>
  <c r="BD1623" i="1"/>
  <c r="AP1623" i="1"/>
  <c r="AX1623" i="1" s="1"/>
  <c r="AO1623" i="1"/>
  <c r="AW1623" i="1" s="1"/>
  <c r="AK1623" i="1"/>
  <c r="AJ1623" i="1"/>
  <c r="AH1623" i="1"/>
  <c r="AG1623" i="1"/>
  <c r="AF1623" i="1"/>
  <c r="AC1623" i="1"/>
  <c r="AB1623" i="1"/>
  <c r="Z1623" i="1"/>
  <c r="O1623" i="1"/>
  <c r="BF1623" i="1" s="1"/>
  <c r="L1623" i="1"/>
  <c r="AL1623" i="1" s="1"/>
  <c r="K1623" i="1"/>
  <c r="BW1622" i="1"/>
  <c r="BJ1622" i="1"/>
  <c r="BD1622" i="1"/>
  <c r="AP1622" i="1"/>
  <c r="AO1622" i="1"/>
  <c r="AK1622" i="1"/>
  <c r="AJ1622" i="1"/>
  <c r="AH1622" i="1"/>
  <c r="AG1622" i="1"/>
  <c r="AF1622" i="1"/>
  <c r="AC1622" i="1"/>
  <c r="AB1622" i="1"/>
  <c r="Z1622" i="1"/>
  <c r="O1622" i="1"/>
  <c r="L1622" i="1"/>
  <c r="BW1620" i="1"/>
  <c r="BJ1620" i="1"/>
  <c r="BD1620" i="1"/>
  <c r="AP1620" i="1"/>
  <c r="AO1620" i="1"/>
  <c r="AK1620" i="1"/>
  <c r="AJ1620" i="1"/>
  <c r="AH1620" i="1"/>
  <c r="AG1620" i="1"/>
  <c r="AF1620" i="1"/>
  <c r="AC1620" i="1"/>
  <c r="AB1620" i="1"/>
  <c r="Z1620" i="1"/>
  <c r="O1620" i="1"/>
  <c r="BF1620" i="1" s="1"/>
  <c r="L1620" i="1"/>
  <c r="AL1620" i="1" s="1"/>
  <c r="BW1619" i="1"/>
  <c r="BJ1619" i="1"/>
  <c r="BD1619" i="1"/>
  <c r="AP1619" i="1"/>
  <c r="K1619" i="1" s="1"/>
  <c r="AO1619" i="1"/>
  <c r="BH1619" i="1" s="1"/>
  <c r="AD1619" i="1" s="1"/>
  <c r="AK1619" i="1"/>
  <c r="AJ1619" i="1"/>
  <c r="AH1619" i="1"/>
  <c r="AG1619" i="1"/>
  <c r="AF1619" i="1"/>
  <c r="AC1619" i="1"/>
  <c r="AB1619" i="1"/>
  <c r="Z1619" i="1"/>
  <c r="O1619" i="1"/>
  <c r="BF1619" i="1" s="1"/>
  <c r="L1619" i="1"/>
  <c r="AL1619" i="1" s="1"/>
  <c r="BW1618" i="1"/>
  <c r="BJ1618" i="1"/>
  <c r="BD1618" i="1"/>
  <c r="AP1618" i="1"/>
  <c r="K1618" i="1" s="1"/>
  <c r="AO1618" i="1"/>
  <c r="AW1618" i="1" s="1"/>
  <c r="AK1618" i="1"/>
  <c r="AJ1618" i="1"/>
  <c r="AH1618" i="1"/>
  <c r="AG1618" i="1"/>
  <c r="AF1618" i="1"/>
  <c r="AC1618" i="1"/>
  <c r="AB1618" i="1"/>
  <c r="Z1618" i="1"/>
  <c r="O1618" i="1"/>
  <c r="BF1618" i="1" s="1"/>
  <c r="L1618" i="1"/>
  <c r="AL1618" i="1" s="1"/>
  <c r="BW1617" i="1"/>
  <c r="BJ1617" i="1"/>
  <c r="BD1617" i="1"/>
  <c r="AP1617" i="1"/>
  <c r="AO1617" i="1"/>
  <c r="AK1617" i="1"/>
  <c r="AJ1617" i="1"/>
  <c r="AH1617" i="1"/>
  <c r="AG1617" i="1"/>
  <c r="AF1617" i="1"/>
  <c r="AC1617" i="1"/>
  <c r="AB1617" i="1"/>
  <c r="Z1617" i="1"/>
  <c r="O1617" i="1"/>
  <c r="BF1617" i="1" s="1"/>
  <c r="L1617" i="1"/>
  <c r="AL1617" i="1" s="1"/>
  <c r="BW1616" i="1"/>
  <c r="BJ1616" i="1"/>
  <c r="BD1616" i="1"/>
  <c r="AP1616" i="1"/>
  <c r="K1616" i="1" s="1"/>
  <c r="AO1616" i="1"/>
  <c r="BH1616" i="1" s="1"/>
  <c r="AD1616" i="1" s="1"/>
  <c r="AK1616" i="1"/>
  <c r="AJ1616" i="1"/>
  <c r="AH1616" i="1"/>
  <c r="AG1616" i="1"/>
  <c r="AF1616" i="1"/>
  <c r="AC1616" i="1"/>
  <c r="AB1616" i="1"/>
  <c r="Z1616" i="1"/>
  <c r="O1616" i="1"/>
  <c r="BF1616" i="1" s="1"/>
  <c r="L1616" i="1"/>
  <c r="AL1616" i="1" s="1"/>
  <c r="BW1615" i="1"/>
  <c r="BJ1615" i="1"/>
  <c r="BD1615" i="1"/>
  <c r="AP1615" i="1"/>
  <c r="AX1615" i="1" s="1"/>
  <c r="AO1615" i="1"/>
  <c r="J1615" i="1" s="1"/>
  <c r="AK1615" i="1"/>
  <c r="AJ1615" i="1"/>
  <c r="AH1615" i="1"/>
  <c r="AG1615" i="1"/>
  <c r="AF1615" i="1"/>
  <c r="AC1615" i="1"/>
  <c r="AB1615" i="1"/>
  <c r="Z1615" i="1"/>
  <c r="O1615" i="1"/>
  <c r="BF1615" i="1" s="1"/>
  <c r="L1615" i="1"/>
  <c r="AL1615" i="1" s="1"/>
  <c r="BW1614" i="1"/>
  <c r="BJ1614" i="1"/>
  <c r="BD1614" i="1"/>
  <c r="AP1614" i="1"/>
  <c r="AO1614" i="1"/>
  <c r="AK1614" i="1"/>
  <c r="AJ1614" i="1"/>
  <c r="AH1614" i="1"/>
  <c r="AG1614" i="1"/>
  <c r="AF1614" i="1"/>
  <c r="AC1614" i="1"/>
  <c r="AB1614" i="1"/>
  <c r="Z1614" i="1"/>
  <c r="O1614" i="1"/>
  <c r="L1614" i="1"/>
  <c r="AL1614" i="1" s="1"/>
  <c r="BW1613" i="1"/>
  <c r="BJ1613" i="1"/>
  <c r="BD1613" i="1"/>
  <c r="AP1613" i="1"/>
  <c r="AO1613" i="1"/>
  <c r="BH1613" i="1" s="1"/>
  <c r="AD1613" i="1" s="1"/>
  <c r="AK1613" i="1"/>
  <c r="AJ1613" i="1"/>
  <c r="AH1613" i="1"/>
  <c r="AG1613" i="1"/>
  <c r="AF1613" i="1"/>
  <c r="AC1613" i="1"/>
  <c r="AB1613" i="1"/>
  <c r="Z1613" i="1"/>
  <c r="O1613" i="1"/>
  <c r="BF1613" i="1" s="1"/>
  <c r="L1613" i="1"/>
  <c r="BW1611" i="1"/>
  <c r="BJ1611" i="1"/>
  <c r="BD1611" i="1"/>
  <c r="AP1611" i="1"/>
  <c r="K1611" i="1" s="1"/>
  <c r="AO1611" i="1"/>
  <c r="BH1611" i="1" s="1"/>
  <c r="AD1611" i="1" s="1"/>
  <c r="AK1611" i="1"/>
  <c r="AJ1611" i="1"/>
  <c r="AH1611" i="1"/>
  <c r="AG1611" i="1"/>
  <c r="AF1611" i="1"/>
  <c r="AC1611" i="1"/>
  <c r="AB1611" i="1"/>
  <c r="Z1611" i="1"/>
  <c r="O1611" i="1"/>
  <c r="BF1611" i="1" s="1"/>
  <c r="L1611" i="1"/>
  <c r="BW1610" i="1"/>
  <c r="BJ1610" i="1"/>
  <c r="BD1610" i="1"/>
  <c r="AP1610" i="1"/>
  <c r="AX1610" i="1" s="1"/>
  <c r="AO1610" i="1"/>
  <c r="BH1610" i="1" s="1"/>
  <c r="AD1610" i="1" s="1"/>
  <c r="AK1610" i="1"/>
  <c r="AJ1610" i="1"/>
  <c r="AH1610" i="1"/>
  <c r="AG1610" i="1"/>
  <c r="AF1610" i="1"/>
  <c r="AC1610" i="1"/>
  <c r="AB1610" i="1"/>
  <c r="Z1610" i="1"/>
  <c r="O1610" i="1"/>
  <c r="BF1610" i="1" s="1"/>
  <c r="L1610" i="1"/>
  <c r="AL1610" i="1" s="1"/>
  <c r="BW1609" i="1"/>
  <c r="BJ1609" i="1"/>
  <c r="BD1609" i="1"/>
  <c r="AP1609" i="1"/>
  <c r="AO1609" i="1"/>
  <c r="AK1609" i="1"/>
  <c r="AJ1609" i="1"/>
  <c r="AH1609" i="1"/>
  <c r="AG1609" i="1"/>
  <c r="AF1609" i="1"/>
  <c r="AC1609" i="1"/>
  <c r="AB1609" i="1"/>
  <c r="Z1609" i="1"/>
  <c r="O1609" i="1"/>
  <c r="BF1609" i="1" s="1"/>
  <c r="L1609" i="1"/>
  <c r="BW1608" i="1"/>
  <c r="BJ1608" i="1"/>
  <c r="BD1608" i="1"/>
  <c r="AP1608" i="1"/>
  <c r="BI1608" i="1" s="1"/>
  <c r="AE1608" i="1" s="1"/>
  <c r="AO1608" i="1"/>
  <c r="BH1608" i="1" s="1"/>
  <c r="AD1608" i="1" s="1"/>
  <c r="AK1608" i="1"/>
  <c r="AJ1608" i="1"/>
  <c r="AH1608" i="1"/>
  <c r="AG1608" i="1"/>
  <c r="AF1608" i="1"/>
  <c r="AC1608" i="1"/>
  <c r="AB1608" i="1"/>
  <c r="Z1608" i="1"/>
  <c r="O1608" i="1"/>
  <c r="BF1608" i="1" s="1"/>
  <c r="L1608" i="1"/>
  <c r="BW1607" i="1"/>
  <c r="BJ1607" i="1"/>
  <c r="BD1607" i="1"/>
  <c r="AP1607" i="1"/>
  <c r="AX1607" i="1" s="1"/>
  <c r="AO1607" i="1"/>
  <c r="BH1607" i="1" s="1"/>
  <c r="AD1607" i="1" s="1"/>
  <c r="AK1607" i="1"/>
  <c r="AJ1607" i="1"/>
  <c r="AH1607" i="1"/>
  <c r="AG1607" i="1"/>
  <c r="AF1607" i="1"/>
  <c r="AC1607" i="1"/>
  <c r="AB1607" i="1"/>
  <c r="Z1607" i="1"/>
  <c r="O1607" i="1"/>
  <c r="BF1607" i="1" s="1"/>
  <c r="L1607" i="1"/>
  <c r="AL1607" i="1" s="1"/>
  <c r="K1607" i="1"/>
  <c r="BW1606" i="1"/>
  <c r="BJ1606" i="1"/>
  <c r="BD1606" i="1"/>
  <c r="AP1606" i="1"/>
  <c r="AO1606" i="1"/>
  <c r="AK1606" i="1"/>
  <c r="AJ1606" i="1"/>
  <c r="AH1606" i="1"/>
  <c r="AG1606" i="1"/>
  <c r="AF1606" i="1"/>
  <c r="AC1606" i="1"/>
  <c r="AB1606" i="1"/>
  <c r="Z1606" i="1"/>
  <c r="O1606" i="1"/>
  <c r="L1606" i="1"/>
  <c r="AL1606" i="1" s="1"/>
  <c r="BW1605" i="1"/>
  <c r="BJ1605" i="1"/>
  <c r="BD1605" i="1"/>
  <c r="AP1605" i="1"/>
  <c r="K1605" i="1" s="1"/>
  <c r="AO1605" i="1"/>
  <c r="BH1605" i="1" s="1"/>
  <c r="AD1605" i="1" s="1"/>
  <c r="AK1605" i="1"/>
  <c r="AJ1605" i="1"/>
  <c r="AH1605" i="1"/>
  <c r="AG1605" i="1"/>
  <c r="AF1605" i="1"/>
  <c r="AC1605" i="1"/>
  <c r="AB1605" i="1"/>
  <c r="Z1605" i="1"/>
  <c r="O1605" i="1"/>
  <c r="BF1605" i="1" s="1"/>
  <c r="L1605" i="1"/>
  <c r="AL1605" i="1" s="1"/>
  <c r="BW1603" i="1"/>
  <c r="BJ1603" i="1"/>
  <c r="BD1603" i="1"/>
  <c r="AP1603" i="1"/>
  <c r="AO1603" i="1"/>
  <c r="BH1603" i="1" s="1"/>
  <c r="AD1603" i="1" s="1"/>
  <c r="AK1603" i="1"/>
  <c r="AJ1603" i="1"/>
  <c r="AH1603" i="1"/>
  <c r="AG1603" i="1"/>
  <c r="AF1603" i="1"/>
  <c r="AC1603" i="1"/>
  <c r="AB1603" i="1"/>
  <c r="Z1603" i="1"/>
  <c r="O1603" i="1"/>
  <c r="BF1603" i="1" s="1"/>
  <c r="L1603" i="1"/>
  <c r="AL1603" i="1" s="1"/>
  <c r="BW1602" i="1"/>
  <c r="BJ1602" i="1"/>
  <c r="BD1602" i="1"/>
  <c r="AP1602" i="1"/>
  <c r="K1602" i="1" s="1"/>
  <c r="AO1602" i="1"/>
  <c r="BH1602" i="1" s="1"/>
  <c r="AD1602" i="1" s="1"/>
  <c r="AK1602" i="1"/>
  <c r="AJ1602" i="1"/>
  <c r="AH1602" i="1"/>
  <c r="AG1602" i="1"/>
  <c r="AF1602" i="1"/>
  <c r="AC1602" i="1"/>
  <c r="AB1602" i="1"/>
  <c r="Z1602" i="1"/>
  <c r="O1602" i="1"/>
  <c r="BF1602" i="1" s="1"/>
  <c r="L1602" i="1"/>
  <c r="BW1601" i="1"/>
  <c r="BJ1601" i="1"/>
  <c r="BD1601" i="1"/>
  <c r="AP1601" i="1"/>
  <c r="AO1601" i="1"/>
  <c r="AK1601" i="1"/>
  <c r="AJ1601" i="1"/>
  <c r="AH1601" i="1"/>
  <c r="AG1601" i="1"/>
  <c r="AF1601" i="1"/>
  <c r="AC1601" i="1"/>
  <c r="AB1601" i="1"/>
  <c r="Z1601" i="1"/>
  <c r="O1601" i="1"/>
  <c r="BF1601" i="1" s="1"/>
  <c r="L1601" i="1"/>
  <c r="AL1601" i="1" s="1"/>
  <c r="BW1600" i="1"/>
  <c r="BJ1600" i="1"/>
  <c r="BD1600" i="1"/>
  <c r="AP1600" i="1"/>
  <c r="AO1600" i="1"/>
  <c r="AK1600" i="1"/>
  <c r="AJ1600" i="1"/>
  <c r="AH1600" i="1"/>
  <c r="AG1600" i="1"/>
  <c r="AF1600" i="1"/>
  <c r="AC1600" i="1"/>
  <c r="AB1600" i="1"/>
  <c r="Z1600" i="1"/>
  <c r="O1600" i="1"/>
  <c r="BF1600" i="1" s="1"/>
  <c r="L1600" i="1"/>
  <c r="AL1600" i="1" s="1"/>
  <c r="BW1599" i="1"/>
  <c r="BJ1599" i="1"/>
  <c r="BD1599" i="1"/>
  <c r="AP1599" i="1"/>
  <c r="AO1599" i="1"/>
  <c r="AW1599" i="1" s="1"/>
  <c r="AK1599" i="1"/>
  <c r="AJ1599" i="1"/>
  <c r="AH1599" i="1"/>
  <c r="AG1599" i="1"/>
  <c r="AF1599" i="1"/>
  <c r="AC1599" i="1"/>
  <c r="AB1599" i="1"/>
  <c r="Z1599" i="1"/>
  <c r="O1599" i="1"/>
  <c r="BF1599" i="1" s="1"/>
  <c r="L1599" i="1"/>
  <c r="BW1598" i="1"/>
  <c r="BJ1598" i="1"/>
  <c r="BD1598" i="1"/>
  <c r="AP1598" i="1"/>
  <c r="AO1598" i="1"/>
  <c r="AK1598" i="1"/>
  <c r="AJ1598" i="1"/>
  <c r="AH1598" i="1"/>
  <c r="AG1598" i="1"/>
  <c r="AF1598" i="1"/>
  <c r="AC1598" i="1"/>
  <c r="AB1598" i="1"/>
  <c r="Z1598" i="1"/>
  <c r="O1598" i="1"/>
  <c r="BF1598" i="1" s="1"/>
  <c r="L1598" i="1"/>
  <c r="AL1598" i="1" s="1"/>
  <c r="BW1597" i="1"/>
  <c r="BJ1597" i="1"/>
  <c r="BD1597" i="1"/>
  <c r="AP1597" i="1"/>
  <c r="AO1597" i="1"/>
  <c r="AK1597" i="1"/>
  <c r="AJ1597" i="1"/>
  <c r="AH1597" i="1"/>
  <c r="AG1597" i="1"/>
  <c r="AF1597" i="1"/>
  <c r="AC1597" i="1"/>
  <c r="AB1597" i="1"/>
  <c r="Z1597" i="1"/>
  <c r="O1597" i="1"/>
  <c r="BF1597" i="1" s="1"/>
  <c r="L1597" i="1"/>
  <c r="BW1596" i="1"/>
  <c r="BJ1596" i="1"/>
  <c r="BD1596" i="1"/>
  <c r="AP1596" i="1"/>
  <c r="AO1596" i="1"/>
  <c r="AW1596" i="1" s="1"/>
  <c r="AK1596" i="1"/>
  <c r="AJ1596" i="1"/>
  <c r="AH1596" i="1"/>
  <c r="AG1596" i="1"/>
  <c r="AF1596" i="1"/>
  <c r="AC1596" i="1"/>
  <c r="AB1596" i="1"/>
  <c r="Z1596" i="1"/>
  <c r="O1596" i="1"/>
  <c r="BF1596" i="1" s="1"/>
  <c r="L1596" i="1"/>
  <c r="BW1595" i="1"/>
  <c r="BJ1595" i="1"/>
  <c r="BD1595" i="1"/>
  <c r="AP1595" i="1"/>
  <c r="AO1595" i="1"/>
  <c r="AK1595" i="1"/>
  <c r="AJ1595" i="1"/>
  <c r="AH1595" i="1"/>
  <c r="AG1595" i="1"/>
  <c r="AF1595" i="1"/>
  <c r="AC1595" i="1"/>
  <c r="AB1595" i="1"/>
  <c r="Z1595" i="1"/>
  <c r="O1595" i="1"/>
  <c r="BF1595" i="1" s="1"/>
  <c r="L1595" i="1"/>
  <c r="AL1595" i="1" s="1"/>
  <c r="BW1594" i="1"/>
  <c r="BJ1594" i="1"/>
  <c r="BD1594" i="1"/>
  <c r="AP1594" i="1"/>
  <c r="AO1594" i="1"/>
  <c r="AK1594" i="1"/>
  <c r="AJ1594" i="1"/>
  <c r="AH1594" i="1"/>
  <c r="AG1594" i="1"/>
  <c r="AF1594" i="1"/>
  <c r="AC1594" i="1"/>
  <c r="AB1594" i="1"/>
  <c r="Z1594" i="1"/>
  <c r="O1594" i="1"/>
  <c r="L1594" i="1"/>
  <c r="AL1594" i="1" s="1"/>
  <c r="BW1593" i="1"/>
  <c r="BJ1593" i="1"/>
  <c r="BD1593" i="1"/>
  <c r="AP1593" i="1"/>
  <c r="BI1593" i="1" s="1"/>
  <c r="AE1593" i="1" s="1"/>
  <c r="AO1593" i="1"/>
  <c r="J1593" i="1" s="1"/>
  <c r="AK1593" i="1"/>
  <c r="AJ1593" i="1"/>
  <c r="AH1593" i="1"/>
  <c r="AG1593" i="1"/>
  <c r="AF1593" i="1"/>
  <c r="AC1593" i="1"/>
  <c r="AB1593" i="1"/>
  <c r="Z1593" i="1"/>
  <c r="O1593" i="1"/>
  <c r="BF1593" i="1" s="1"/>
  <c r="L1593" i="1"/>
  <c r="BW1591" i="1"/>
  <c r="BJ1591" i="1"/>
  <c r="BD1591" i="1"/>
  <c r="AP1591" i="1"/>
  <c r="BI1591" i="1" s="1"/>
  <c r="AE1591" i="1" s="1"/>
  <c r="AO1591" i="1"/>
  <c r="BH1591" i="1" s="1"/>
  <c r="AD1591" i="1" s="1"/>
  <c r="AK1591" i="1"/>
  <c r="AJ1591" i="1"/>
  <c r="AH1591" i="1"/>
  <c r="AG1591" i="1"/>
  <c r="AF1591" i="1"/>
  <c r="AC1591" i="1"/>
  <c r="AB1591" i="1"/>
  <c r="Z1591" i="1"/>
  <c r="O1591" i="1"/>
  <c r="BF1591" i="1" s="1"/>
  <c r="L1591" i="1"/>
  <c r="BW1590" i="1"/>
  <c r="BJ1590" i="1"/>
  <c r="BD1590" i="1"/>
  <c r="AP1590" i="1"/>
  <c r="AO1590" i="1"/>
  <c r="AW1590" i="1" s="1"/>
  <c r="AK1590" i="1"/>
  <c r="AJ1590" i="1"/>
  <c r="AH1590" i="1"/>
  <c r="AG1590" i="1"/>
  <c r="AF1590" i="1"/>
  <c r="AC1590" i="1"/>
  <c r="AB1590" i="1"/>
  <c r="Z1590" i="1"/>
  <c r="O1590" i="1"/>
  <c r="BF1590" i="1" s="1"/>
  <c r="L1590" i="1"/>
  <c r="AL1590" i="1" s="1"/>
  <c r="BW1589" i="1"/>
  <c r="BJ1589" i="1"/>
  <c r="BD1589" i="1"/>
  <c r="AP1589" i="1"/>
  <c r="BI1589" i="1" s="1"/>
  <c r="AE1589" i="1" s="1"/>
  <c r="AO1589" i="1"/>
  <c r="BH1589" i="1" s="1"/>
  <c r="AD1589" i="1" s="1"/>
  <c r="AK1589" i="1"/>
  <c r="AJ1589" i="1"/>
  <c r="AH1589" i="1"/>
  <c r="AG1589" i="1"/>
  <c r="AF1589" i="1"/>
  <c r="AC1589" i="1"/>
  <c r="AB1589" i="1"/>
  <c r="Z1589" i="1"/>
  <c r="O1589" i="1"/>
  <c r="BF1589" i="1" s="1"/>
  <c r="L1589" i="1"/>
  <c r="BW1588" i="1"/>
  <c r="BJ1588" i="1"/>
  <c r="BD1588" i="1"/>
  <c r="AP1588" i="1"/>
  <c r="AO1588" i="1"/>
  <c r="AK1588" i="1"/>
  <c r="AJ1588" i="1"/>
  <c r="AH1588" i="1"/>
  <c r="AG1588" i="1"/>
  <c r="AF1588" i="1"/>
  <c r="AC1588" i="1"/>
  <c r="AB1588" i="1"/>
  <c r="Z1588" i="1"/>
  <c r="O1588" i="1"/>
  <c r="BF1588" i="1" s="1"/>
  <c r="L1588" i="1"/>
  <c r="AL1588" i="1" s="1"/>
  <c r="BW1587" i="1"/>
  <c r="BJ1587" i="1"/>
  <c r="BD1587" i="1"/>
  <c r="AP1587" i="1"/>
  <c r="BI1587" i="1" s="1"/>
  <c r="AE1587" i="1" s="1"/>
  <c r="AO1587" i="1"/>
  <c r="J1587" i="1" s="1"/>
  <c r="AK1587" i="1"/>
  <c r="AJ1587" i="1"/>
  <c r="AH1587" i="1"/>
  <c r="AG1587" i="1"/>
  <c r="AF1587" i="1"/>
  <c r="AC1587" i="1"/>
  <c r="AB1587" i="1"/>
  <c r="Z1587" i="1"/>
  <c r="O1587" i="1"/>
  <c r="BF1587" i="1" s="1"/>
  <c r="L1587" i="1"/>
  <c r="BW1586" i="1"/>
  <c r="BJ1586" i="1"/>
  <c r="BD1586" i="1"/>
  <c r="AP1586" i="1"/>
  <c r="AX1586" i="1" s="1"/>
  <c r="AO1586" i="1"/>
  <c r="J1586" i="1" s="1"/>
  <c r="AK1586" i="1"/>
  <c r="AJ1586" i="1"/>
  <c r="AH1586" i="1"/>
  <c r="AG1586" i="1"/>
  <c r="AF1586" i="1"/>
  <c r="AC1586" i="1"/>
  <c r="AB1586" i="1"/>
  <c r="Z1586" i="1"/>
  <c r="O1586" i="1"/>
  <c r="BF1586" i="1" s="1"/>
  <c r="L1586" i="1"/>
  <c r="BW1585" i="1"/>
  <c r="BJ1585" i="1"/>
  <c r="BD1585" i="1"/>
  <c r="AP1585" i="1"/>
  <c r="K1585" i="1" s="1"/>
  <c r="AO1585" i="1"/>
  <c r="AW1585" i="1" s="1"/>
  <c r="AK1585" i="1"/>
  <c r="AJ1585" i="1"/>
  <c r="AH1585" i="1"/>
  <c r="AG1585" i="1"/>
  <c r="AF1585" i="1"/>
  <c r="AC1585" i="1"/>
  <c r="AB1585" i="1"/>
  <c r="Z1585" i="1"/>
  <c r="O1585" i="1"/>
  <c r="BF1585" i="1" s="1"/>
  <c r="L1585" i="1"/>
  <c r="AL1585" i="1" s="1"/>
  <c r="BW1584" i="1"/>
  <c r="BJ1584" i="1"/>
  <c r="BD1584" i="1"/>
  <c r="AP1584" i="1"/>
  <c r="AO1584" i="1"/>
  <c r="J1584" i="1" s="1"/>
  <c r="AK1584" i="1"/>
  <c r="AJ1584" i="1"/>
  <c r="AH1584" i="1"/>
  <c r="AG1584" i="1"/>
  <c r="AF1584" i="1"/>
  <c r="AC1584" i="1"/>
  <c r="AB1584" i="1"/>
  <c r="Z1584" i="1"/>
  <c r="O1584" i="1"/>
  <c r="BF1584" i="1" s="1"/>
  <c r="L1584" i="1"/>
  <c r="AL1584" i="1" s="1"/>
  <c r="BW1583" i="1"/>
  <c r="BJ1583" i="1"/>
  <c r="BD1583" i="1"/>
  <c r="AP1583" i="1"/>
  <c r="AX1583" i="1" s="1"/>
  <c r="AO1583" i="1"/>
  <c r="AW1583" i="1" s="1"/>
  <c r="AK1583" i="1"/>
  <c r="AJ1583" i="1"/>
  <c r="AH1583" i="1"/>
  <c r="AG1583" i="1"/>
  <c r="AF1583" i="1"/>
  <c r="AC1583" i="1"/>
  <c r="AB1583" i="1"/>
  <c r="Z1583" i="1"/>
  <c r="O1583" i="1"/>
  <c r="BF1583" i="1" s="1"/>
  <c r="L1583" i="1"/>
  <c r="AL1583" i="1" s="1"/>
  <c r="BW1582" i="1"/>
  <c r="BJ1582" i="1"/>
  <c r="BD1582" i="1"/>
  <c r="AP1582" i="1"/>
  <c r="AX1582" i="1" s="1"/>
  <c r="AO1582" i="1"/>
  <c r="BH1582" i="1" s="1"/>
  <c r="AD1582" i="1" s="1"/>
  <c r="AK1582" i="1"/>
  <c r="AJ1582" i="1"/>
  <c r="AH1582" i="1"/>
  <c r="AG1582" i="1"/>
  <c r="AF1582" i="1"/>
  <c r="AC1582" i="1"/>
  <c r="AB1582" i="1"/>
  <c r="Z1582" i="1"/>
  <c r="O1582" i="1"/>
  <c r="BF1582" i="1" s="1"/>
  <c r="L1582" i="1"/>
  <c r="BW1581" i="1"/>
  <c r="BJ1581" i="1"/>
  <c r="BD1581" i="1"/>
  <c r="AP1581" i="1"/>
  <c r="AO1581" i="1"/>
  <c r="AK1581" i="1"/>
  <c r="AJ1581" i="1"/>
  <c r="AH1581" i="1"/>
  <c r="AG1581" i="1"/>
  <c r="AF1581" i="1"/>
  <c r="AC1581" i="1"/>
  <c r="AB1581" i="1"/>
  <c r="Z1581" i="1"/>
  <c r="O1581" i="1"/>
  <c r="BF1581" i="1" s="1"/>
  <c r="L1581" i="1"/>
  <c r="BW1580" i="1"/>
  <c r="BJ1580" i="1"/>
  <c r="BD1580" i="1"/>
  <c r="AP1580" i="1"/>
  <c r="BI1580" i="1" s="1"/>
  <c r="AE1580" i="1" s="1"/>
  <c r="AO1580" i="1"/>
  <c r="AW1580" i="1" s="1"/>
  <c r="AK1580" i="1"/>
  <c r="AJ1580" i="1"/>
  <c r="AH1580" i="1"/>
  <c r="AG1580" i="1"/>
  <c r="AF1580" i="1"/>
  <c r="AC1580" i="1"/>
  <c r="AB1580" i="1"/>
  <c r="Z1580" i="1"/>
  <c r="O1580" i="1"/>
  <c r="BF1580" i="1" s="1"/>
  <c r="L1580" i="1"/>
  <c r="AL1580" i="1" s="1"/>
  <c r="BW1579" i="1"/>
  <c r="BJ1579" i="1"/>
  <c r="BD1579" i="1"/>
  <c r="AP1579" i="1"/>
  <c r="AX1579" i="1" s="1"/>
  <c r="AO1579" i="1"/>
  <c r="AW1579" i="1" s="1"/>
  <c r="AK1579" i="1"/>
  <c r="AJ1579" i="1"/>
  <c r="AH1579" i="1"/>
  <c r="AG1579" i="1"/>
  <c r="AF1579" i="1"/>
  <c r="AC1579" i="1"/>
  <c r="AB1579" i="1"/>
  <c r="Z1579" i="1"/>
  <c r="O1579" i="1"/>
  <c r="BF1579" i="1" s="1"/>
  <c r="L1579" i="1"/>
  <c r="BW1578" i="1"/>
  <c r="BJ1578" i="1"/>
  <c r="BD1578" i="1"/>
  <c r="AP1578" i="1"/>
  <c r="AO1578" i="1"/>
  <c r="AK1578" i="1"/>
  <c r="AJ1578" i="1"/>
  <c r="AH1578" i="1"/>
  <c r="AG1578" i="1"/>
  <c r="AF1578" i="1"/>
  <c r="AC1578" i="1"/>
  <c r="AB1578" i="1"/>
  <c r="Z1578" i="1"/>
  <c r="O1578" i="1"/>
  <c r="L1578" i="1"/>
  <c r="AL1578" i="1" s="1"/>
  <c r="BW1577" i="1"/>
  <c r="BJ1577" i="1"/>
  <c r="BD1577" i="1"/>
  <c r="AP1577" i="1"/>
  <c r="BI1577" i="1" s="1"/>
  <c r="AE1577" i="1" s="1"/>
  <c r="AO1577" i="1"/>
  <c r="AW1577" i="1" s="1"/>
  <c r="AK1577" i="1"/>
  <c r="AJ1577" i="1"/>
  <c r="AH1577" i="1"/>
  <c r="AG1577" i="1"/>
  <c r="AF1577" i="1"/>
  <c r="AC1577" i="1"/>
  <c r="AB1577" i="1"/>
  <c r="Z1577" i="1"/>
  <c r="O1577" i="1"/>
  <c r="BF1577" i="1" s="1"/>
  <c r="L1577" i="1"/>
  <c r="BW1576" i="1"/>
  <c r="BJ1576" i="1"/>
  <c r="BD1576" i="1"/>
  <c r="AP1576" i="1"/>
  <c r="BI1576" i="1" s="1"/>
  <c r="AE1576" i="1" s="1"/>
  <c r="AO1576" i="1"/>
  <c r="AW1576" i="1" s="1"/>
  <c r="AK1576" i="1"/>
  <c r="AJ1576" i="1"/>
  <c r="AH1576" i="1"/>
  <c r="AG1576" i="1"/>
  <c r="AF1576" i="1"/>
  <c r="AC1576" i="1"/>
  <c r="AB1576" i="1"/>
  <c r="Z1576" i="1"/>
  <c r="O1576" i="1"/>
  <c r="BF1576" i="1" s="1"/>
  <c r="L1576" i="1"/>
  <c r="BW1574" i="1"/>
  <c r="BJ1574" i="1"/>
  <c r="BD1574" i="1"/>
  <c r="AP1574" i="1"/>
  <c r="AX1574" i="1" s="1"/>
  <c r="AO1574" i="1"/>
  <c r="AW1574" i="1" s="1"/>
  <c r="AK1574" i="1"/>
  <c r="AJ1574" i="1"/>
  <c r="AH1574" i="1"/>
  <c r="AG1574" i="1"/>
  <c r="AF1574" i="1"/>
  <c r="AC1574" i="1"/>
  <c r="AB1574" i="1"/>
  <c r="Z1574" i="1"/>
  <c r="O1574" i="1"/>
  <c r="BF1574" i="1" s="1"/>
  <c r="L1574" i="1"/>
  <c r="BW1573" i="1"/>
  <c r="BJ1573" i="1"/>
  <c r="BD1573" i="1"/>
  <c r="AP1573" i="1"/>
  <c r="AO1573" i="1"/>
  <c r="AK1573" i="1"/>
  <c r="AJ1573" i="1"/>
  <c r="AH1573" i="1"/>
  <c r="AG1573" i="1"/>
  <c r="AF1573" i="1"/>
  <c r="AC1573" i="1"/>
  <c r="AB1573" i="1"/>
  <c r="Z1573" i="1"/>
  <c r="O1573" i="1"/>
  <c r="BF1573" i="1" s="1"/>
  <c r="L1573" i="1"/>
  <c r="BW1572" i="1"/>
  <c r="BJ1572" i="1"/>
  <c r="BD1572" i="1"/>
  <c r="AP1572" i="1"/>
  <c r="BI1572" i="1" s="1"/>
  <c r="AE1572" i="1" s="1"/>
  <c r="AO1572" i="1"/>
  <c r="AW1572" i="1" s="1"/>
  <c r="AK1572" i="1"/>
  <c r="AJ1572" i="1"/>
  <c r="AH1572" i="1"/>
  <c r="AG1572" i="1"/>
  <c r="AF1572" i="1"/>
  <c r="AC1572" i="1"/>
  <c r="AB1572" i="1"/>
  <c r="Z1572" i="1"/>
  <c r="O1572" i="1"/>
  <c r="BF1572" i="1" s="1"/>
  <c r="L1572" i="1"/>
  <c r="BW1571" i="1"/>
  <c r="BJ1571" i="1"/>
  <c r="BD1571" i="1"/>
  <c r="AP1571" i="1"/>
  <c r="BI1571" i="1" s="1"/>
  <c r="AE1571" i="1" s="1"/>
  <c r="AO1571" i="1"/>
  <c r="BH1571" i="1" s="1"/>
  <c r="AD1571" i="1" s="1"/>
  <c r="AK1571" i="1"/>
  <c r="AJ1571" i="1"/>
  <c r="AH1571" i="1"/>
  <c r="AG1571" i="1"/>
  <c r="AF1571" i="1"/>
  <c r="AC1571" i="1"/>
  <c r="AB1571" i="1"/>
  <c r="Z1571" i="1"/>
  <c r="O1571" i="1"/>
  <c r="BF1571" i="1" s="1"/>
  <c r="L1571" i="1"/>
  <c r="BW1570" i="1"/>
  <c r="BJ1570" i="1"/>
  <c r="BD1570" i="1"/>
  <c r="AP1570" i="1"/>
  <c r="AO1570" i="1"/>
  <c r="AK1570" i="1"/>
  <c r="AJ1570" i="1"/>
  <c r="AH1570" i="1"/>
  <c r="AG1570" i="1"/>
  <c r="AF1570" i="1"/>
  <c r="AC1570" i="1"/>
  <c r="AB1570" i="1"/>
  <c r="Z1570" i="1"/>
  <c r="O1570" i="1"/>
  <c r="BF1570" i="1" s="1"/>
  <c r="L1570" i="1"/>
  <c r="AL1570" i="1" s="1"/>
  <c r="BW1569" i="1"/>
  <c r="BJ1569" i="1"/>
  <c r="BD1569" i="1"/>
  <c r="AP1569" i="1"/>
  <c r="BI1569" i="1" s="1"/>
  <c r="AE1569" i="1" s="1"/>
  <c r="AO1569" i="1"/>
  <c r="AW1569" i="1" s="1"/>
  <c r="AK1569" i="1"/>
  <c r="AJ1569" i="1"/>
  <c r="AH1569" i="1"/>
  <c r="AG1569" i="1"/>
  <c r="AF1569" i="1"/>
  <c r="AC1569" i="1"/>
  <c r="AB1569" i="1"/>
  <c r="Z1569" i="1"/>
  <c r="O1569" i="1"/>
  <c r="BF1569" i="1" s="1"/>
  <c r="L1569" i="1"/>
  <c r="BW1568" i="1"/>
  <c r="BJ1568" i="1"/>
  <c r="BD1568" i="1"/>
  <c r="AP1568" i="1"/>
  <c r="AX1568" i="1" s="1"/>
  <c r="AO1568" i="1"/>
  <c r="BH1568" i="1" s="1"/>
  <c r="AD1568" i="1" s="1"/>
  <c r="AK1568" i="1"/>
  <c r="AJ1568" i="1"/>
  <c r="AH1568" i="1"/>
  <c r="AG1568" i="1"/>
  <c r="AF1568" i="1"/>
  <c r="AC1568" i="1"/>
  <c r="AB1568" i="1"/>
  <c r="Z1568" i="1"/>
  <c r="O1568" i="1"/>
  <c r="BF1568" i="1" s="1"/>
  <c r="L1568" i="1"/>
  <c r="BW1567" i="1"/>
  <c r="BJ1567" i="1"/>
  <c r="BD1567" i="1"/>
  <c r="AP1567" i="1"/>
  <c r="AO1567" i="1"/>
  <c r="AK1567" i="1"/>
  <c r="AJ1567" i="1"/>
  <c r="AH1567" i="1"/>
  <c r="AG1567" i="1"/>
  <c r="AF1567" i="1"/>
  <c r="AC1567" i="1"/>
  <c r="AB1567" i="1"/>
  <c r="Z1567" i="1"/>
  <c r="O1567" i="1"/>
  <c r="BF1567" i="1" s="1"/>
  <c r="L1567" i="1"/>
  <c r="AL1567" i="1" s="1"/>
  <c r="BW1566" i="1"/>
  <c r="BJ1566" i="1"/>
  <c r="BD1566" i="1"/>
  <c r="AP1566" i="1"/>
  <c r="BI1566" i="1" s="1"/>
  <c r="AE1566" i="1" s="1"/>
  <c r="AO1566" i="1"/>
  <c r="AW1566" i="1" s="1"/>
  <c r="AK1566" i="1"/>
  <c r="AJ1566" i="1"/>
  <c r="AH1566" i="1"/>
  <c r="AG1566" i="1"/>
  <c r="AF1566" i="1"/>
  <c r="AC1566" i="1"/>
  <c r="AB1566" i="1"/>
  <c r="Z1566" i="1"/>
  <c r="O1566" i="1"/>
  <c r="BF1566" i="1" s="1"/>
  <c r="L1566" i="1"/>
  <c r="BW1565" i="1"/>
  <c r="BJ1565" i="1"/>
  <c r="BD1565" i="1"/>
  <c r="AP1565" i="1"/>
  <c r="AX1565" i="1" s="1"/>
  <c r="AO1565" i="1"/>
  <c r="BH1565" i="1" s="1"/>
  <c r="AD1565" i="1" s="1"/>
  <c r="AK1565" i="1"/>
  <c r="AJ1565" i="1"/>
  <c r="AH1565" i="1"/>
  <c r="AG1565" i="1"/>
  <c r="AF1565" i="1"/>
  <c r="AC1565" i="1"/>
  <c r="AB1565" i="1"/>
  <c r="Z1565" i="1"/>
  <c r="O1565" i="1"/>
  <c r="BF1565" i="1" s="1"/>
  <c r="L1565" i="1"/>
  <c r="BW1564" i="1"/>
  <c r="BJ1564" i="1"/>
  <c r="BD1564" i="1"/>
  <c r="AP1564" i="1"/>
  <c r="AO1564" i="1"/>
  <c r="AK1564" i="1"/>
  <c r="AJ1564" i="1"/>
  <c r="AH1564" i="1"/>
  <c r="AG1564" i="1"/>
  <c r="AF1564" i="1"/>
  <c r="AC1564" i="1"/>
  <c r="AB1564" i="1"/>
  <c r="Z1564" i="1"/>
  <c r="O1564" i="1"/>
  <c r="BF1564" i="1" s="1"/>
  <c r="L1564" i="1"/>
  <c r="AL1564" i="1" s="1"/>
  <c r="BW1563" i="1"/>
  <c r="BJ1563" i="1"/>
  <c r="BD1563" i="1"/>
  <c r="AP1563" i="1"/>
  <c r="BI1563" i="1" s="1"/>
  <c r="AE1563" i="1" s="1"/>
  <c r="AO1563" i="1"/>
  <c r="AW1563" i="1" s="1"/>
  <c r="AK1563" i="1"/>
  <c r="AJ1563" i="1"/>
  <c r="AH1563" i="1"/>
  <c r="AG1563" i="1"/>
  <c r="AF1563" i="1"/>
  <c r="AC1563" i="1"/>
  <c r="AB1563" i="1"/>
  <c r="Z1563" i="1"/>
  <c r="O1563" i="1"/>
  <c r="BF1563" i="1" s="1"/>
  <c r="L1563" i="1"/>
  <c r="BW1562" i="1"/>
  <c r="BJ1562" i="1"/>
  <c r="BD1562" i="1"/>
  <c r="AP1562" i="1"/>
  <c r="BI1562" i="1" s="1"/>
  <c r="AE1562" i="1" s="1"/>
  <c r="AO1562" i="1"/>
  <c r="AW1562" i="1" s="1"/>
  <c r="AK1562" i="1"/>
  <c r="AJ1562" i="1"/>
  <c r="AH1562" i="1"/>
  <c r="AG1562" i="1"/>
  <c r="AF1562" i="1"/>
  <c r="AC1562" i="1"/>
  <c r="AB1562" i="1"/>
  <c r="Z1562" i="1"/>
  <c r="O1562" i="1"/>
  <c r="BF1562" i="1" s="1"/>
  <c r="L1562" i="1"/>
  <c r="BW1561" i="1"/>
  <c r="BJ1561" i="1"/>
  <c r="BD1561" i="1"/>
  <c r="AP1561" i="1"/>
  <c r="AO1561" i="1"/>
  <c r="AK1561" i="1"/>
  <c r="AJ1561" i="1"/>
  <c r="AH1561" i="1"/>
  <c r="AG1561" i="1"/>
  <c r="AF1561" i="1"/>
  <c r="AC1561" i="1"/>
  <c r="AB1561" i="1"/>
  <c r="Z1561" i="1"/>
  <c r="O1561" i="1"/>
  <c r="BF1561" i="1" s="1"/>
  <c r="L1561" i="1"/>
  <c r="AL1561" i="1" s="1"/>
  <c r="BW1560" i="1"/>
  <c r="BJ1560" i="1"/>
  <c r="BD1560" i="1"/>
  <c r="AP1560" i="1"/>
  <c r="BI1560" i="1" s="1"/>
  <c r="AE1560" i="1" s="1"/>
  <c r="AO1560" i="1"/>
  <c r="AW1560" i="1" s="1"/>
  <c r="AK1560" i="1"/>
  <c r="AJ1560" i="1"/>
  <c r="AH1560" i="1"/>
  <c r="AG1560" i="1"/>
  <c r="AF1560" i="1"/>
  <c r="AC1560" i="1"/>
  <c r="AB1560" i="1"/>
  <c r="Z1560" i="1"/>
  <c r="O1560" i="1"/>
  <c r="BF1560" i="1" s="1"/>
  <c r="L1560" i="1"/>
  <c r="AL1560" i="1" s="1"/>
  <c r="BW1559" i="1"/>
  <c r="BJ1559" i="1"/>
  <c r="BD1559" i="1"/>
  <c r="AP1559" i="1"/>
  <c r="AX1559" i="1" s="1"/>
  <c r="AO1559" i="1"/>
  <c r="AW1559" i="1" s="1"/>
  <c r="AK1559" i="1"/>
  <c r="AJ1559" i="1"/>
  <c r="AH1559" i="1"/>
  <c r="AG1559" i="1"/>
  <c r="AF1559" i="1"/>
  <c r="AC1559" i="1"/>
  <c r="AB1559" i="1"/>
  <c r="Z1559" i="1"/>
  <c r="O1559" i="1"/>
  <c r="BF1559" i="1" s="1"/>
  <c r="L1559" i="1"/>
  <c r="BW1558" i="1"/>
  <c r="BJ1558" i="1"/>
  <c r="BD1558" i="1"/>
  <c r="AP1558" i="1"/>
  <c r="AO1558" i="1"/>
  <c r="AK1558" i="1"/>
  <c r="AJ1558" i="1"/>
  <c r="AH1558" i="1"/>
  <c r="AG1558" i="1"/>
  <c r="AF1558" i="1"/>
  <c r="AC1558" i="1"/>
  <c r="AB1558" i="1"/>
  <c r="Z1558" i="1"/>
  <c r="O1558" i="1"/>
  <c r="L1558" i="1"/>
  <c r="AL1558" i="1" s="1"/>
  <c r="BW1557" i="1"/>
  <c r="BJ1557" i="1"/>
  <c r="BD1557" i="1"/>
  <c r="AP1557" i="1"/>
  <c r="BI1557" i="1" s="1"/>
  <c r="AE1557" i="1" s="1"/>
  <c r="AO1557" i="1"/>
  <c r="AW1557" i="1" s="1"/>
  <c r="AK1557" i="1"/>
  <c r="AJ1557" i="1"/>
  <c r="AH1557" i="1"/>
  <c r="AG1557" i="1"/>
  <c r="AF1557" i="1"/>
  <c r="AC1557" i="1"/>
  <c r="AB1557" i="1"/>
  <c r="Z1557" i="1"/>
  <c r="O1557" i="1"/>
  <c r="BF1557" i="1" s="1"/>
  <c r="L1557" i="1"/>
  <c r="AL1557" i="1" s="1"/>
  <c r="BW1556" i="1"/>
  <c r="BJ1556" i="1"/>
  <c r="BD1556" i="1"/>
  <c r="AP1556" i="1"/>
  <c r="AX1556" i="1" s="1"/>
  <c r="AO1556" i="1"/>
  <c r="AW1556" i="1" s="1"/>
  <c r="AK1556" i="1"/>
  <c r="AJ1556" i="1"/>
  <c r="AH1556" i="1"/>
  <c r="AG1556" i="1"/>
  <c r="AF1556" i="1"/>
  <c r="AC1556" i="1"/>
  <c r="AB1556" i="1"/>
  <c r="Z1556" i="1"/>
  <c r="O1556" i="1"/>
  <c r="BF1556" i="1" s="1"/>
  <c r="L1556" i="1"/>
  <c r="BW1555" i="1"/>
  <c r="BJ1555" i="1"/>
  <c r="BD1555" i="1"/>
  <c r="AP1555" i="1"/>
  <c r="AO1555" i="1"/>
  <c r="AK1555" i="1"/>
  <c r="AJ1555" i="1"/>
  <c r="AH1555" i="1"/>
  <c r="AG1555" i="1"/>
  <c r="AF1555" i="1"/>
  <c r="AC1555" i="1"/>
  <c r="AB1555" i="1"/>
  <c r="Z1555" i="1"/>
  <c r="O1555" i="1"/>
  <c r="BF1555" i="1" s="1"/>
  <c r="L1555" i="1"/>
  <c r="AL1555" i="1" s="1"/>
  <c r="BW1554" i="1"/>
  <c r="BJ1554" i="1"/>
  <c r="BD1554" i="1"/>
  <c r="AP1554" i="1"/>
  <c r="BI1554" i="1" s="1"/>
  <c r="AE1554" i="1" s="1"/>
  <c r="AO1554" i="1"/>
  <c r="AW1554" i="1" s="1"/>
  <c r="AK1554" i="1"/>
  <c r="AJ1554" i="1"/>
  <c r="AH1554" i="1"/>
  <c r="AG1554" i="1"/>
  <c r="AF1554" i="1"/>
  <c r="AC1554" i="1"/>
  <c r="AB1554" i="1"/>
  <c r="Z1554" i="1"/>
  <c r="O1554" i="1"/>
  <c r="BF1554" i="1" s="1"/>
  <c r="L1554" i="1"/>
  <c r="BW1386" i="1"/>
  <c r="BJ1386" i="1"/>
  <c r="Z1386" i="1" s="1"/>
  <c r="BD1386" i="1"/>
  <c r="AP1386" i="1"/>
  <c r="AO1386" i="1"/>
  <c r="AW1386" i="1" s="1"/>
  <c r="AK1386" i="1"/>
  <c r="AJ1386" i="1"/>
  <c r="AH1386" i="1"/>
  <c r="AG1386" i="1"/>
  <c r="AF1386" i="1"/>
  <c r="AE1386" i="1"/>
  <c r="AD1386" i="1"/>
  <c r="AC1386" i="1"/>
  <c r="AB1386" i="1"/>
  <c r="O1386" i="1"/>
  <c r="BF1386" i="1" s="1"/>
  <c r="L1386" i="1"/>
  <c r="AL1386" i="1" s="1"/>
  <c r="BW1382" i="1"/>
  <c r="BJ1382" i="1"/>
  <c r="BD1382" i="1"/>
  <c r="AP1382" i="1"/>
  <c r="K1382" i="1" s="1"/>
  <c r="AO1382" i="1"/>
  <c r="BH1382" i="1" s="1"/>
  <c r="AD1382" i="1" s="1"/>
  <c r="AK1382" i="1"/>
  <c r="AJ1382" i="1"/>
  <c r="AH1382" i="1"/>
  <c r="AG1382" i="1"/>
  <c r="AF1382" i="1"/>
  <c r="AC1382" i="1"/>
  <c r="AB1382" i="1"/>
  <c r="Z1382" i="1"/>
  <c r="O1382" i="1"/>
  <c r="BF1382" i="1" s="1"/>
  <c r="L1382" i="1"/>
  <c r="BW1380" i="1"/>
  <c r="BJ1380" i="1"/>
  <c r="BD1380" i="1"/>
  <c r="AP1380" i="1"/>
  <c r="AX1380" i="1" s="1"/>
  <c r="AO1380" i="1"/>
  <c r="AK1380" i="1"/>
  <c r="AJ1380" i="1"/>
  <c r="AH1380" i="1"/>
  <c r="AG1380" i="1"/>
  <c r="AF1380" i="1"/>
  <c r="AC1380" i="1"/>
  <c r="AB1380" i="1"/>
  <c r="Z1380" i="1"/>
  <c r="O1380" i="1"/>
  <c r="BF1380" i="1" s="1"/>
  <c r="L1380" i="1"/>
  <c r="AL1380" i="1" s="1"/>
  <c r="BW1377" i="1"/>
  <c r="BJ1377" i="1"/>
  <c r="BD1377" i="1"/>
  <c r="AP1377" i="1"/>
  <c r="AO1377" i="1"/>
  <c r="AW1377" i="1" s="1"/>
  <c r="AK1377" i="1"/>
  <c r="AJ1377" i="1"/>
  <c r="AH1377" i="1"/>
  <c r="AG1377" i="1"/>
  <c r="AF1377" i="1"/>
  <c r="AC1377" i="1"/>
  <c r="AB1377" i="1"/>
  <c r="Z1377" i="1"/>
  <c r="O1377" i="1"/>
  <c r="BF1377" i="1" s="1"/>
  <c r="L1377" i="1"/>
  <c r="AL1377" i="1" s="1"/>
  <c r="BW1376" i="1"/>
  <c r="BJ1376" i="1"/>
  <c r="BD1376" i="1"/>
  <c r="AP1376" i="1"/>
  <c r="BI1376" i="1" s="1"/>
  <c r="AE1376" i="1" s="1"/>
  <c r="AO1376" i="1"/>
  <c r="AW1376" i="1" s="1"/>
  <c r="AK1376" i="1"/>
  <c r="AJ1376" i="1"/>
  <c r="AH1376" i="1"/>
  <c r="AG1376" i="1"/>
  <c r="AF1376" i="1"/>
  <c r="AC1376" i="1"/>
  <c r="AB1376" i="1"/>
  <c r="Z1376" i="1"/>
  <c r="O1376" i="1"/>
  <c r="BF1376" i="1" s="1"/>
  <c r="L1376" i="1"/>
  <c r="BW1360" i="1"/>
  <c r="BJ1360" i="1"/>
  <c r="BD1360" i="1"/>
  <c r="AP1360" i="1"/>
  <c r="AO1360" i="1"/>
  <c r="AK1360" i="1"/>
  <c r="AJ1360" i="1"/>
  <c r="AH1360" i="1"/>
  <c r="AG1360" i="1"/>
  <c r="AF1360" i="1"/>
  <c r="AC1360" i="1"/>
  <c r="AB1360" i="1"/>
  <c r="Z1360" i="1"/>
  <c r="O1360" i="1"/>
  <c r="BF1360" i="1" s="1"/>
  <c r="L1360" i="1"/>
  <c r="BW1355" i="1"/>
  <c r="BJ1355" i="1"/>
  <c r="BD1355" i="1"/>
  <c r="AP1355" i="1"/>
  <c r="AO1355" i="1"/>
  <c r="AW1355" i="1" s="1"/>
  <c r="AK1355" i="1"/>
  <c r="AJ1355" i="1"/>
  <c r="AH1355" i="1"/>
  <c r="AG1355" i="1"/>
  <c r="AF1355" i="1"/>
  <c r="AC1355" i="1"/>
  <c r="AB1355" i="1"/>
  <c r="Z1355" i="1"/>
  <c r="O1355" i="1"/>
  <c r="BF1355" i="1" s="1"/>
  <c r="L1355" i="1"/>
  <c r="BW1344" i="1"/>
  <c r="BJ1344" i="1"/>
  <c r="BD1344" i="1"/>
  <c r="AP1344" i="1"/>
  <c r="BI1344" i="1" s="1"/>
  <c r="AE1344" i="1" s="1"/>
  <c r="AO1344" i="1"/>
  <c r="BH1344" i="1" s="1"/>
  <c r="AD1344" i="1" s="1"/>
  <c r="AK1344" i="1"/>
  <c r="AJ1344" i="1"/>
  <c r="AH1344" i="1"/>
  <c r="AG1344" i="1"/>
  <c r="AF1344" i="1"/>
  <c r="AC1344" i="1"/>
  <c r="AB1344" i="1"/>
  <c r="Z1344" i="1"/>
  <c r="O1344" i="1"/>
  <c r="BF1344" i="1" s="1"/>
  <c r="L1344" i="1"/>
  <c r="BW1339" i="1"/>
  <c r="BJ1339" i="1"/>
  <c r="BD1339" i="1"/>
  <c r="AP1339" i="1"/>
  <c r="AX1339" i="1" s="1"/>
  <c r="AO1339" i="1"/>
  <c r="AK1339" i="1"/>
  <c r="AJ1339" i="1"/>
  <c r="AH1339" i="1"/>
  <c r="AG1339" i="1"/>
  <c r="AF1339" i="1"/>
  <c r="AC1339" i="1"/>
  <c r="AB1339" i="1"/>
  <c r="Z1339" i="1"/>
  <c r="O1339" i="1"/>
  <c r="BF1339" i="1" s="1"/>
  <c r="L1339" i="1"/>
  <c r="AL1339" i="1" s="1"/>
  <c r="BW1327" i="1"/>
  <c r="BJ1327" i="1"/>
  <c r="BD1327" i="1"/>
  <c r="AP1327" i="1"/>
  <c r="AO1327" i="1"/>
  <c r="AW1327" i="1" s="1"/>
  <c r="AK1327" i="1"/>
  <c r="AJ1327" i="1"/>
  <c r="AH1327" i="1"/>
  <c r="AG1327" i="1"/>
  <c r="AF1327" i="1"/>
  <c r="AC1327" i="1"/>
  <c r="AB1327" i="1"/>
  <c r="Z1327" i="1"/>
  <c r="O1327" i="1"/>
  <c r="BF1327" i="1" s="1"/>
  <c r="L1327" i="1"/>
  <c r="AL1327" i="1" s="1"/>
  <c r="BW1314" i="1"/>
  <c r="BJ1314" i="1"/>
  <c r="BD1314" i="1"/>
  <c r="AP1314" i="1"/>
  <c r="BI1314" i="1" s="1"/>
  <c r="AE1314" i="1" s="1"/>
  <c r="AO1314" i="1"/>
  <c r="BH1314" i="1" s="1"/>
  <c r="AD1314" i="1" s="1"/>
  <c r="AK1314" i="1"/>
  <c r="AJ1314" i="1"/>
  <c r="AH1314" i="1"/>
  <c r="AG1314" i="1"/>
  <c r="AF1314" i="1"/>
  <c r="AC1314" i="1"/>
  <c r="AB1314" i="1"/>
  <c r="Z1314" i="1"/>
  <c r="O1314" i="1"/>
  <c r="BF1314" i="1" s="1"/>
  <c r="L1314" i="1"/>
  <c r="BW1311" i="1"/>
  <c r="BJ1311" i="1"/>
  <c r="BD1311" i="1"/>
  <c r="AP1311" i="1"/>
  <c r="AO1311" i="1"/>
  <c r="AK1311" i="1"/>
  <c r="AJ1311" i="1"/>
  <c r="AH1311" i="1"/>
  <c r="AG1311" i="1"/>
  <c r="AF1311" i="1"/>
  <c r="AC1311" i="1"/>
  <c r="AB1311" i="1"/>
  <c r="Z1311" i="1"/>
  <c r="O1311" i="1"/>
  <c r="BF1311" i="1" s="1"/>
  <c r="L1311" i="1"/>
  <c r="BW1297" i="1"/>
  <c r="BJ1297" i="1"/>
  <c r="BD1297" i="1"/>
  <c r="AP1297" i="1"/>
  <c r="AO1297" i="1"/>
  <c r="AW1297" i="1" s="1"/>
  <c r="AK1297" i="1"/>
  <c r="AJ1297" i="1"/>
  <c r="AH1297" i="1"/>
  <c r="AG1297" i="1"/>
  <c r="AF1297" i="1"/>
  <c r="AC1297" i="1"/>
  <c r="AB1297" i="1"/>
  <c r="Z1297" i="1"/>
  <c r="O1297" i="1"/>
  <c r="BF1297" i="1" s="1"/>
  <c r="L1297" i="1"/>
  <c r="AL1297" i="1" s="1"/>
  <c r="BW1282" i="1"/>
  <c r="BJ1282" i="1"/>
  <c r="BD1282" i="1"/>
  <c r="AP1282" i="1"/>
  <c r="BI1282" i="1" s="1"/>
  <c r="AE1282" i="1" s="1"/>
  <c r="AO1282" i="1"/>
  <c r="BH1282" i="1" s="1"/>
  <c r="AD1282" i="1" s="1"/>
  <c r="AK1282" i="1"/>
  <c r="AJ1282" i="1"/>
  <c r="AH1282" i="1"/>
  <c r="AG1282" i="1"/>
  <c r="AF1282" i="1"/>
  <c r="AC1282" i="1"/>
  <c r="AB1282" i="1"/>
  <c r="Z1282" i="1"/>
  <c r="O1282" i="1"/>
  <c r="BF1282" i="1" s="1"/>
  <c r="L1282" i="1"/>
  <c r="BW1270" i="1"/>
  <c r="BJ1270" i="1"/>
  <c r="BD1270" i="1"/>
  <c r="AP1270" i="1"/>
  <c r="AX1270" i="1" s="1"/>
  <c r="AO1270" i="1"/>
  <c r="AK1270" i="1"/>
  <c r="AJ1270" i="1"/>
  <c r="AH1270" i="1"/>
  <c r="AG1270" i="1"/>
  <c r="AF1270" i="1"/>
  <c r="AC1270" i="1"/>
  <c r="AB1270" i="1"/>
  <c r="Z1270" i="1"/>
  <c r="O1270" i="1"/>
  <c r="L1270" i="1"/>
  <c r="AL1270" i="1" s="1"/>
  <c r="BW1268" i="1"/>
  <c r="BJ1268" i="1"/>
  <c r="Z1268" i="1" s="1"/>
  <c r="BD1268" i="1"/>
  <c r="AP1268" i="1"/>
  <c r="AX1268" i="1" s="1"/>
  <c r="AO1268" i="1"/>
  <c r="AK1268" i="1"/>
  <c r="AJ1268" i="1"/>
  <c r="AH1268" i="1"/>
  <c r="AG1268" i="1"/>
  <c r="AF1268" i="1"/>
  <c r="AE1268" i="1"/>
  <c r="AD1268" i="1"/>
  <c r="AC1268" i="1"/>
  <c r="AB1268" i="1"/>
  <c r="O1268" i="1"/>
  <c r="BF1268" i="1" s="1"/>
  <c r="L1268" i="1"/>
  <c r="BW1266" i="1"/>
  <c r="BJ1266" i="1"/>
  <c r="BD1266" i="1"/>
  <c r="AP1266" i="1"/>
  <c r="AO1266" i="1"/>
  <c r="AW1266" i="1" s="1"/>
  <c r="AK1266" i="1"/>
  <c r="AJ1266" i="1"/>
  <c r="AH1266" i="1"/>
  <c r="AG1266" i="1"/>
  <c r="AF1266" i="1"/>
  <c r="AC1266" i="1"/>
  <c r="AB1266" i="1"/>
  <c r="Z1266" i="1"/>
  <c r="O1266" i="1"/>
  <c r="BF1266" i="1" s="1"/>
  <c r="L1266" i="1"/>
  <c r="AL1266" i="1" s="1"/>
  <c r="BW1264" i="1"/>
  <c r="BJ1264" i="1"/>
  <c r="BD1264" i="1"/>
  <c r="AP1264" i="1"/>
  <c r="BI1264" i="1" s="1"/>
  <c r="AE1264" i="1" s="1"/>
  <c r="AO1264" i="1"/>
  <c r="BH1264" i="1" s="1"/>
  <c r="AD1264" i="1" s="1"/>
  <c r="AK1264" i="1"/>
  <c r="AJ1264" i="1"/>
  <c r="AH1264" i="1"/>
  <c r="AG1264" i="1"/>
  <c r="AF1264" i="1"/>
  <c r="AC1264" i="1"/>
  <c r="AB1264" i="1"/>
  <c r="Z1264" i="1"/>
  <c r="O1264" i="1"/>
  <c r="BF1264" i="1" s="1"/>
  <c r="L1264" i="1"/>
  <c r="BW1262" i="1"/>
  <c r="BJ1262" i="1"/>
  <c r="BD1262" i="1"/>
  <c r="AP1262" i="1"/>
  <c r="AX1262" i="1" s="1"/>
  <c r="AO1262" i="1"/>
  <c r="AK1262" i="1"/>
  <c r="AJ1262" i="1"/>
  <c r="AH1262" i="1"/>
  <c r="AG1262" i="1"/>
  <c r="AF1262" i="1"/>
  <c r="AC1262" i="1"/>
  <c r="AB1262" i="1"/>
  <c r="Z1262" i="1"/>
  <c r="O1262" i="1"/>
  <c r="BF1262" i="1" s="1"/>
  <c r="L1262" i="1"/>
  <c r="AL1262" i="1" s="1"/>
  <c r="BW1259" i="1"/>
  <c r="BJ1259" i="1"/>
  <c r="BD1259" i="1"/>
  <c r="AP1259" i="1"/>
  <c r="AO1259" i="1"/>
  <c r="AW1259" i="1" s="1"/>
  <c r="AK1259" i="1"/>
  <c r="AJ1259" i="1"/>
  <c r="AH1259" i="1"/>
  <c r="AG1259" i="1"/>
  <c r="AF1259" i="1"/>
  <c r="AC1259" i="1"/>
  <c r="AB1259" i="1"/>
  <c r="Z1259" i="1"/>
  <c r="O1259" i="1"/>
  <c r="BF1259" i="1" s="1"/>
  <c r="L1259" i="1"/>
  <c r="AL1259" i="1" s="1"/>
  <c r="BW1256" i="1"/>
  <c r="BJ1256" i="1"/>
  <c r="BD1256" i="1"/>
  <c r="AP1256" i="1"/>
  <c r="AX1256" i="1" s="1"/>
  <c r="AO1256" i="1"/>
  <c r="AW1256" i="1" s="1"/>
  <c r="AK1256" i="1"/>
  <c r="AJ1256" i="1"/>
  <c r="AH1256" i="1"/>
  <c r="AG1256" i="1"/>
  <c r="AF1256" i="1"/>
  <c r="AC1256" i="1"/>
  <c r="AB1256" i="1"/>
  <c r="Z1256" i="1"/>
  <c r="O1256" i="1"/>
  <c r="BF1256" i="1" s="1"/>
  <c r="L1256" i="1"/>
  <c r="BW1254" i="1"/>
  <c r="BJ1254" i="1"/>
  <c r="BD1254" i="1"/>
  <c r="AP1254" i="1"/>
  <c r="K1254" i="1" s="1"/>
  <c r="AO1254" i="1"/>
  <c r="AK1254" i="1"/>
  <c r="AJ1254" i="1"/>
  <c r="AH1254" i="1"/>
  <c r="AG1254" i="1"/>
  <c r="AF1254" i="1"/>
  <c r="AC1254" i="1"/>
  <c r="AB1254" i="1"/>
  <c r="Z1254" i="1"/>
  <c r="O1254" i="1"/>
  <c r="BF1254" i="1" s="1"/>
  <c r="L1254" i="1"/>
  <c r="BW1242" i="1"/>
  <c r="BJ1242" i="1"/>
  <c r="BD1242" i="1"/>
  <c r="AP1242" i="1"/>
  <c r="AO1242" i="1"/>
  <c r="AW1242" i="1" s="1"/>
  <c r="AK1242" i="1"/>
  <c r="AJ1242" i="1"/>
  <c r="AH1242" i="1"/>
  <c r="AG1242" i="1"/>
  <c r="AF1242" i="1"/>
  <c r="AC1242" i="1"/>
  <c r="AB1242" i="1"/>
  <c r="Z1242" i="1"/>
  <c r="O1242" i="1"/>
  <c r="BF1242" i="1" s="1"/>
  <c r="L1242" i="1"/>
  <c r="AL1242" i="1" s="1"/>
  <c r="BW1239" i="1"/>
  <c r="BJ1239" i="1"/>
  <c r="BD1239" i="1"/>
  <c r="AP1239" i="1"/>
  <c r="BI1239" i="1" s="1"/>
  <c r="AE1239" i="1" s="1"/>
  <c r="AO1239" i="1"/>
  <c r="BH1239" i="1" s="1"/>
  <c r="AD1239" i="1" s="1"/>
  <c r="AK1239" i="1"/>
  <c r="AJ1239" i="1"/>
  <c r="AH1239" i="1"/>
  <c r="AG1239" i="1"/>
  <c r="AF1239" i="1"/>
  <c r="AC1239" i="1"/>
  <c r="AB1239" i="1"/>
  <c r="Z1239" i="1"/>
  <c r="O1239" i="1"/>
  <c r="BF1239" i="1" s="1"/>
  <c r="L1239" i="1"/>
  <c r="BW1228" i="1"/>
  <c r="BJ1228" i="1"/>
  <c r="BD1228" i="1"/>
  <c r="AP1228" i="1"/>
  <c r="AO1228" i="1"/>
  <c r="AW1228" i="1" s="1"/>
  <c r="AK1228" i="1"/>
  <c r="AJ1228" i="1"/>
  <c r="AH1228" i="1"/>
  <c r="AG1228" i="1"/>
  <c r="AF1228" i="1"/>
  <c r="AC1228" i="1"/>
  <c r="AB1228" i="1"/>
  <c r="Z1228" i="1"/>
  <c r="O1228" i="1"/>
  <c r="BF1228" i="1" s="1"/>
  <c r="L1228" i="1"/>
  <c r="AL1228" i="1" s="1"/>
  <c r="BW1216" i="1"/>
  <c r="BJ1216" i="1"/>
  <c r="BD1216" i="1"/>
  <c r="AP1216" i="1"/>
  <c r="AO1216" i="1"/>
  <c r="AK1216" i="1"/>
  <c r="AJ1216" i="1"/>
  <c r="AH1216" i="1"/>
  <c r="AG1216" i="1"/>
  <c r="AF1216" i="1"/>
  <c r="AC1216" i="1"/>
  <c r="AB1216" i="1"/>
  <c r="Z1216" i="1"/>
  <c r="O1216" i="1"/>
  <c r="BF1216" i="1" s="1"/>
  <c r="L1216" i="1"/>
  <c r="AL1216" i="1" s="1"/>
  <c r="BW1205" i="1"/>
  <c r="BJ1205" i="1"/>
  <c r="BD1205" i="1"/>
  <c r="AP1205" i="1"/>
  <c r="BI1205" i="1" s="1"/>
  <c r="AE1205" i="1" s="1"/>
  <c r="AO1205" i="1"/>
  <c r="BH1205" i="1" s="1"/>
  <c r="AD1205" i="1" s="1"/>
  <c r="AK1205" i="1"/>
  <c r="AJ1205" i="1"/>
  <c r="AH1205" i="1"/>
  <c r="AG1205" i="1"/>
  <c r="AF1205" i="1"/>
  <c r="AC1205" i="1"/>
  <c r="AB1205" i="1"/>
  <c r="Z1205" i="1"/>
  <c r="O1205" i="1"/>
  <c r="BF1205" i="1" s="1"/>
  <c r="L1205" i="1"/>
  <c r="BW1202" i="1"/>
  <c r="BJ1202" i="1"/>
  <c r="BD1202" i="1"/>
  <c r="AP1202" i="1"/>
  <c r="AX1202" i="1" s="1"/>
  <c r="AO1202" i="1"/>
  <c r="AW1202" i="1" s="1"/>
  <c r="AK1202" i="1"/>
  <c r="AJ1202" i="1"/>
  <c r="AH1202" i="1"/>
  <c r="AG1202" i="1"/>
  <c r="AF1202" i="1"/>
  <c r="AC1202" i="1"/>
  <c r="AB1202" i="1"/>
  <c r="Z1202" i="1"/>
  <c r="O1202" i="1"/>
  <c r="BF1202" i="1" s="1"/>
  <c r="L1202" i="1"/>
  <c r="AL1202" i="1" s="1"/>
  <c r="BW1199" i="1"/>
  <c r="BJ1199" i="1"/>
  <c r="BD1199" i="1"/>
  <c r="AP1199" i="1"/>
  <c r="AO1199" i="1"/>
  <c r="AK1199" i="1"/>
  <c r="AJ1199" i="1"/>
  <c r="AH1199" i="1"/>
  <c r="AG1199" i="1"/>
  <c r="AF1199" i="1"/>
  <c r="AC1199" i="1"/>
  <c r="AB1199" i="1"/>
  <c r="Z1199" i="1"/>
  <c r="O1199" i="1"/>
  <c r="BF1199" i="1" s="1"/>
  <c r="L1199" i="1"/>
  <c r="AL1199" i="1" s="1"/>
  <c r="BW1192" i="1"/>
  <c r="BJ1192" i="1"/>
  <c r="BD1192" i="1"/>
  <c r="AP1192" i="1"/>
  <c r="BI1192" i="1" s="1"/>
  <c r="AE1192" i="1" s="1"/>
  <c r="AO1192" i="1"/>
  <c r="AW1192" i="1" s="1"/>
  <c r="AK1192" i="1"/>
  <c r="AJ1192" i="1"/>
  <c r="AH1192" i="1"/>
  <c r="AG1192" i="1"/>
  <c r="AF1192" i="1"/>
  <c r="AC1192" i="1"/>
  <c r="AB1192" i="1"/>
  <c r="Z1192" i="1"/>
  <c r="O1192" i="1"/>
  <c r="BF1192" i="1" s="1"/>
  <c r="L1192" i="1"/>
  <c r="BW1185" i="1"/>
  <c r="BJ1185" i="1"/>
  <c r="BD1185" i="1"/>
  <c r="AP1185" i="1"/>
  <c r="AO1185" i="1"/>
  <c r="AK1185" i="1"/>
  <c r="AJ1185" i="1"/>
  <c r="AH1185" i="1"/>
  <c r="AG1185" i="1"/>
  <c r="AF1185" i="1"/>
  <c r="AC1185" i="1"/>
  <c r="AB1185" i="1"/>
  <c r="Z1185" i="1"/>
  <c r="O1185" i="1"/>
  <c r="BF1185" i="1" s="1"/>
  <c r="L1185" i="1"/>
  <c r="BW1179" i="1"/>
  <c r="BJ1179" i="1"/>
  <c r="BD1179" i="1"/>
  <c r="AP1179" i="1"/>
  <c r="K1179" i="1" s="1"/>
  <c r="AO1179" i="1"/>
  <c r="AK1179" i="1"/>
  <c r="AJ1179" i="1"/>
  <c r="AH1179" i="1"/>
  <c r="AG1179" i="1"/>
  <c r="AF1179" i="1"/>
  <c r="AC1179" i="1"/>
  <c r="AB1179" i="1"/>
  <c r="Z1179" i="1"/>
  <c r="O1179" i="1"/>
  <c r="L1179" i="1"/>
  <c r="AL1179" i="1" s="1"/>
  <c r="BW1176" i="1"/>
  <c r="BJ1176" i="1"/>
  <c r="Z1176" i="1" s="1"/>
  <c r="BD1176" i="1"/>
  <c r="AP1176" i="1"/>
  <c r="K1176" i="1" s="1"/>
  <c r="K1175" i="1" s="1"/>
  <c r="E34" i="2" s="1"/>
  <c r="AO1176" i="1"/>
  <c r="J1176" i="1" s="1"/>
  <c r="J1175" i="1" s="1"/>
  <c r="D34" i="2" s="1"/>
  <c r="AK1176" i="1"/>
  <c r="AT1175" i="1" s="1"/>
  <c r="AJ1176" i="1"/>
  <c r="AS1175" i="1" s="1"/>
  <c r="AH1176" i="1"/>
  <c r="AG1176" i="1"/>
  <c r="AF1176" i="1"/>
  <c r="AE1176" i="1"/>
  <c r="AD1176" i="1"/>
  <c r="AC1176" i="1"/>
  <c r="AB1176" i="1"/>
  <c r="O1176" i="1"/>
  <c r="BF1176" i="1" s="1"/>
  <c r="L1176" i="1"/>
  <c r="AL1176" i="1" s="1"/>
  <c r="AU1175" i="1" s="1"/>
  <c r="BW1174" i="1"/>
  <c r="BJ1174" i="1"/>
  <c r="Z1174" i="1" s="1"/>
  <c r="BD1174" i="1"/>
  <c r="AP1174" i="1"/>
  <c r="BI1174" i="1" s="1"/>
  <c r="AO1174" i="1"/>
  <c r="J1174" i="1" s="1"/>
  <c r="AK1174" i="1"/>
  <c r="AJ1174" i="1"/>
  <c r="AH1174" i="1"/>
  <c r="AG1174" i="1"/>
  <c r="AF1174" i="1"/>
  <c r="AE1174" i="1"/>
  <c r="AD1174" i="1"/>
  <c r="AC1174" i="1"/>
  <c r="AB1174" i="1"/>
  <c r="O1174" i="1"/>
  <c r="BF1174" i="1" s="1"/>
  <c r="L1174" i="1"/>
  <c r="AL1174" i="1" s="1"/>
  <c r="BW1173" i="1"/>
  <c r="BJ1173" i="1"/>
  <c r="Z1173" i="1" s="1"/>
  <c r="BD1173" i="1"/>
  <c r="AP1173" i="1"/>
  <c r="AX1173" i="1" s="1"/>
  <c r="AO1173" i="1"/>
  <c r="AW1173" i="1" s="1"/>
  <c r="AK1173" i="1"/>
  <c r="AJ1173" i="1"/>
  <c r="AH1173" i="1"/>
  <c r="AG1173" i="1"/>
  <c r="AF1173" i="1"/>
  <c r="AE1173" i="1"/>
  <c r="AD1173" i="1"/>
  <c r="AC1173" i="1"/>
  <c r="AB1173" i="1"/>
  <c r="O1173" i="1"/>
  <c r="BF1173" i="1" s="1"/>
  <c r="L1173" i="1"/>
  <c r="BW1172" i="1"/>
  <c r="BJ1172" i="1"/>
  <c r="Z1172" i="1" s="1"/>
  <c r="BD1172" i="1"/>
  <c r="AP1172" i="1"/>
  <c r="AX1172" i="1" s="1"/>
  <c r="AO1172" i="1"/>
  <c r="AK1172" i="1"/>
  <c r="AJ1172" i="1"/>
  <c r="AH1172" i="1"/>
  <c r="AG1172" i="1"/>
  <c r="AF1172" i="1"/>
  <c r="AE1172" i="1"/>
  <c r="AD1172" i="1"/>
  <c r="AC1172" i="1"/>
  <c r="AB1172" i="1"/>
  <c r="O1172" i="1"/>
  <c r="BF1172" i="1" s="1"/>
  <c r="L1172" i="1"/>
  <c r="BW1171" i="1"/>
  <c r="BJ1171" i="1"/>
  <c r="Z1171" i="1" s="1"/>
  <c r="BD1171" i="1"/>
  <c r="AP1171" i="1"/>
  <c r="K1171" i="1" s="1"/>
  <c r="AO1171" i="1"/>
  <c r="AW1171" i="1" s="1"/>
  <c r="AK1171" i="1"/>
  <c r="AJ1171" i="1"/>
  <c r="AH1171" i="1"/>
  <c r="AG1171" i="1"/>
  <c r="AF1171" i="1"/>
  <c r="AE1171" i="1"/>
  <c r="AD1171" i="1"/>
  <c r="AC1171" i="1"/>
  <c r="AB1171" i="1"/>
  <c r="O1171" i="1"/>
  <c r="BF1171" i="1" s="1"/>
  <c r="L1171" i="1"/>
  <c r="AL1171" i="1" s="1"/>
  <c r="BW1168" i="1"/>
  <c r="BJ1168" i="1"/>
  <c r="BD1168" i="1"/>
  <c r="AP1168" i="1"/>
  <c r="AO1168" i="1"/>
  <c r="J1168" i="1" s="1"/>
  <c r="AK1168" i="1"/>
  <c r="AJ1168" i="1"/>
  <c r="AH1168" i="1"/>
  <c r="AG1168" i="1"/>
  <c r="AF1168" i="1"/>
  <c r="AE1168" i="1"/>
  <c r="AD1168" i="1"/>
  <c r="Z1168" i="1"/>
  <c r="O1168" i="1"/>
  <c r="BF1168" i="1" s="1"/>
  <c r="L1168" i="1"/>
  <c r="AL1168" i="1" s="1"/>
  <c r="BW1165" i="1"/>
  <c r="BJ1165" i="1"/>
  <c r="BD1165" i="1"/>
  <c r="AP1165" i="1"/>
  <c r="AX1165" i="1" s="1"/>
  <c r="AO1165" i="1"/>
  <c r="AW1165" i="1" s="1"/>
  <c r="AK1165" i="1"/>
  <c r="AJ1165" i="1"/>
  <c r="AH1165" i="1"/>
  <c r="AG1165" i="1"/>
  <c r="AF1165" i="1"/>
  <c r="AE1165" i="1"/>
  <c r="AD1165" i="1"/>
  <c r="Z1165" i="1"/>
  <c r="O1165" i="1"/>
  <c r="BF1165" i="1" s="1"/>
  <c r="L1165" i="1"/>
  <c r="BW1162" i="1"/>
  <c r="BJ1162" i="1"/>
  <c r="BD1162" i="1"/>
  <c r="AP1162" i="1"/>
  <c r="AX1162" i="1" s="1"/>
  <c r="AO1162" i="1"/>
  <c r="AK1162" i="1"/>
  <c r="AJ1162" i="1"/>
  <c r="AH1162" i="1"/>
  <c r="AG1162" i="1"/>
  <c r="AF1162" i="1"/>
  <c r="AE1162" i="1"/>
  <c r="AD1162" i="1"/>
  <c r="Z1162" i="1"/>
  <c r="O1162" i="1"/>
  <c r="BF1162" i="1" s="1"/>
  <c r="L1162" i="1"/>
  <c r="AL1162" i="1" s="1"/>
  <c r="BW1160" i="1"/>
  <c r="BJ1160" i="1"/>
  <c r="BD1160" i="1"/>
  <c r="AP1160" i="1"/>
  <c r="AO1160" i="1"/>
  <c r="AK1160" i="1"/>
  <c r="AJ1160" i="1"/>
  <c r="AH1160" i="1"/>
  <c r="AG1160" i="1"/>
  <c r="AF1160" i="1"/>
  <c r="AE1160" i="1"/>
  <c r="AD1160" i="1"/>
  <c r="Z1160" i="1"/>
  <c r="O1160" i="1"/>
  <c r="BF1160" i="1" s="1"/>
  <c r="L1160" i="1"/>
  <c r="BW1158" i="1"/>
  <c r="BJ1158" i="1"/>
  <c r="BD1158" i="1"/>
  <c r="AP1158" i="1"/>
  <c r="BI1158" i="1" s="1"/>
  <c r="AC1158" i="1" s="1"/>
  <c r="AO1158" i="1"/>
  <c r="J1158" i="1" s="1"/>
  <c r="AK1158" i="1"/>
  <c r="AJ1158" i="1"/>
  <c r="AH1158" i="1"/>
  <c r="AG1158" i="1"/>
  <c r="AF1158" i="1"/>
  <c r="AE1158" i="1"/>
  <c r="AD1158" i="1"/>
  <c r="Z1158" i="1"/>
  <c r="O1158" i="1"/>
  <c r="BF1158" i="1" s="1"/>
  <c r="L1158" i="1"/>
  <c r="AL1158" i="1" s="1"/>
  <c r="BW1154" i="1"/>
  <c r="BJ1154" i="1"/>
  <c r="BD1154" i="1"/>
  <c r="AP1154" i="1"/>
  <c r="AX1154" i="1" s="1"/>
  <c r="AO1154" i="1"/>
  <c r="AK1154" i="1"/>
  <c r="AJ1154" i="1"/>
  <c r="AH1154" i="1"/>
  <c r="AG1154" i="1"/>
  <c r="AF1154" i="1"/>
  <c r="AE1154" i="1"/>
  <c r="AD1154" i="1"/>
  <c r="Z1154" i="1"/>
  <c r="O1154" i="1"/>
  <c r="BF1154" i="1" s="1"/>
  <c r="L1154" i="1"/>
  <c r="BW1151" i="1"/>
  <c r="BJ1151" i="1"/>
  <c r="BD1151" i="1"/>
  <c r="AP1151" i="1"/>
  <c r="AX1151" i="1" s="1"/>
  <c r="AO1151" i="1"/>
  <c r="AK1151" i="1"/>
  <c r="AJ1151" i="1"/>
  <c r="AH1151" i="1"/>
  <c r="AG1151" i="1"/>
  <c r="AF1151" i="1"/>
  <c r="AE1151" i="1"/>
  <c r="AD1151" i="1"/>
  <c r="Z1151" i="1"/>
  <c r="O1151" i="1"/>
  <c r="BF1151" i="1" s="1"/>
  <c r="L1151" i="1"/>
  <c r="AL1151" i="1" s="1"/>
  <c r="BW1148" i="1"/>
  <c r="BJ1148" i="1"/>
  <c r="BD1148" i="1"/>
  <c r="AP1148" i="1"/>
  <c r="BI1148" i="1" s="1"/>
  <c r="AC1148" i="1" s="1"/>
  <c r="AO1148" i="1"/>
  <c r="BH1148" i="1" s="1"/>
  <c r="AB1148" i="1" s="1"/>
  <c r="AK1148" i="1"/>
  <c r="AJ1148" i="1"/>
  <c r="AH1148" i="1"/>
  <c r="AG1148" i="1"/>
  <c r="AF1148" i="1"/>
  <c r="AE1148" i="1"/>
  <c r="AD1148" i="1"/>
  <c r="Z1148" i="1"/>
  <c r="O1148" i="1"/>
  <c r="BF1148" i="1" s="1"/>
  <c r="L1148" i="1"/>
  <c r="AL1148" i="1" s="1"/>
  <c r="BW1145" i="1"/>
  <c r="BJ1145" i="1"/>
  <c r="BD1145" i="1"/>
  <c r="AP1145" i="1"/>
  <c r="AX1145" i="1" s="1"/>
  <c r="AO1145" i="1"/>
  <c r="BH1145" i="1" s="1"/>
  <c r="AB1145" i="1" s="1"/>
  <c r="AK1145" i="1"/>
  <c r="AJ1145" i="1"/>
  <c r="AH1145" i="1"/>
  <c r="AG1145" i="1"/>
  <c r="AF1145" i="1"/>
  <c r="AE1145" i="1"/>
  <c r="AD1145" i="1"/>
  <c r="Z1145" i="1"/>
  <c r="O1145" i="1"/>
  <c r="BF1145" i="1" s="1"/>
  <c r="L1145" i="1"/>
  <c r="BW1138" i="1"/>
  <c r="BJ1138" i="1"/>
  <c r="BD1138" i="1"/>
  <c r="AP1138" i="1"/>
  <c r="AX1138" i="1" s="1"/>
  <c r="AO1138" i="1"/>
  <c r="AK1138" i="1"/>
  <c r="AJ1138" i="1"/>
  <c r="AH1138" i="1"/>
  <c r="AG1138" i="1"/>
  <c r="AF1138" i="1"/>
  <c r="AE1138" i="1"/>
  <c r="AD1138" i="1"/>
  <c r="Z1138" i="1"/>
  <c r="O1138" i="1"/>
  <c r="BF1138" i="1" s="1"/>
  <c r="L1138" i="1"/>
  <c r="BW1137" i="1"/>
  <c r="BJ1137" i="1"/>
  <c r="BD1137" i="1"/>
  <c r="AP1137" i="1"/>
  <c r="BI1137" i="1" s="1"/>
  <c r="AC1137" i="1" s="1"/>
  <c r="AO1137" i="1"/>
  <c r="BH1137" i="1" s="1"/>
  <c r="AB1137" i="1" s="1"/>
  <c r="AK1137" i="1"/>
  <c r="AJ1137" i="1"/>
  <c r="AH1137" i="1"/>
  <c r="AG1137" i="1"/>
  <c r="AF1137" i="1"/>
  <c r="AE1137" i="1"/>
  <c r="AD1137" i="1"/>
  <c r="Z1137" i="1"/>
  <c r="O1137" i="1"/>
  <c r="BF1137" i="1" s="1"/>
  <c r="L1137" i="1"/>
  <c r="BW1136" i="1"/>
  <c r="BJ1136" i="1"/>
  <c r="BD1136" i="1"/>
  <c r="AP1136" i="1"/>
  <c r="AX1136" i="1" s="1"/>
  <c r="AO1136" i="1"/>
  <c r="AK1136" i="1"/>
  <c r="AJ1136" i="1"/>
  <c r="AH1136" i="1"/>
  <c r="AG1136" i="1"/>
  <c r="AF1136" i="1"/>
  <c r="AE1136" i="1"/>
  <c r="AD1136" i="1"/>
  <c r="Z1136" i="1"/>
  <c r="O1136" i="1"/>
  <c r="BF1136" i="1" s="1"/>
  <c r="L1136" i="1"/>
  <c r="BW1134" i="1"/>
  <c r="BJ1134" i="1"/>
  <c r="BD1134" i="1"/>
  <c r="AP1134" i="1"/>
  <c r="AO1134" i="1"/>
  <c r="AK1134" i="1"/>
  <c r="AJ1134" i="1"/>
  <c r="AH1134" i="1"/>
  <c r="AG1134" i="1"/>
  <c r="AF1134" i="1"/>
  <c r="AE1134" i="1"/>
  <c r="AD1134" i="1"/>
  <c r="Z1134" i="1"/>
  <c r="O1134" i="1"/>
  <c r="L1134" i="1"/>
  <c r="AL1134" i="1" s="1"/>
  <c r="BW1121" i="1"/>
  <c r="BJ1121" i="1"/>
  <c r="BD1121" i="1"/>
  <c r="AP1121" i="1"/>
  <c r="AX1121" i="1" s="1"/>
  <c r="AO1121" i="1"/>
  <c r="AK1121" i="1"/>
  <c r="AJ1121" i="1"/>
  <c r="AH1121" i="1"/>
  <c r="AG1121" i="1"/>
  <c r="AF1121" i="1"/>
  <c r="AE1121" i="1"/>
  <c r="AD1121" i="1"/>
  <c r="Z1121" i="1"/>
  <c r="O1121" i="1"/>
  <c r="BF1121" i="1" s="1"/>
  <c r="L1121" i="1"/>
  <c r="BW1106" i="1"/>
  <c r="BJ1106" i="1"/>
  <c r="BD1106" i="1"/>
  <c r="AP1106" i="1"/>
  <c r="K1106" i="1" s="1"/>
  <c r="AO1106" i="1"/>
  <c r="J1106" i="1" s="1"/>
  <c r="AK1106" i="1"/>
  <c r="AJ1106" i="1"/>
  <c r="AH1106" i="1"/>
  <c r="AG1106" i="1"/>
  <c r="AF1106" i="1"/>
  <c r="AE1106" i="1"/>
  <c r="AD1106" i="1"/>
  <c r="Z1106" i="1"/>
  <c r="O1106" i="1"/>
  <c r="BF1106" i="1" s="1"/>
  <c r="L1106" i="1"/>
  <c r="AL1106" i="1" s="1"/>
  <c r="BW993" i="1"/>
  <c r="BJ993" i="1"/>
  <c r="BD993" i="1"/>
  <c r="AP993" i="1"/>
  <c r="BI993" i="1" s="1"/>
  <c r="AC993" i="1" s="1"/>
  <c r="AO993" i="1"/>
  <c r="AW993" i="1" s="1"/>
  <c r="AK993" i="1"/>
  <c r="AJ993" i="1"/>
  <c r="AH993" i="1"/>
  <c r="AG993" i="1"/>
  <c r="AF993" i="1"/>
  <c r="AE993" i="1"/>
  <c r="AD993" i="1"/>
  <c r="Z993" i="1"/>
  <c r="O993" i="1"/>
  <c r="BF993" i="1" s="1"/>
  <c r="L993" i="1"/>
  <c r="AL993" i="1" s="1"/>
  <c r="BW980" i="1"/>
  <c r="BJ980" i="1"/>
  <c r="BD980" i="1"/>
  <c r="AP980" i="1"/>
  <c r="AX980" i="1" s="1"/>
  <c r="AO980" i="1"/>
  <c r="AW980" i="1" s="1"/>
  <c r="AK980" i="1"/>
  <c r="AJ980" i="1"/>
  <c r="AH980" i="1"/>
  <c r="AG980" i="1"/>
  <c r="AF980" i="1"/>
  <c r="AE980" i="1"/>
  <c r="AD980" i="1"/>
  <c r="Z980" i="1"/>
  <c r="O980" i="1"/>
  <c r="BF980" i="1" s="1"/>
  <c r="L980" i="1"/>
  <c r="AL980" i="1" s="1"/>
  <c r="BW975" i="1"/>
  <c r="BJ975" i="1"/>
  <c r="BD975" i="1"/>
  <c r="AP975" i="1"/>
  <c r="AX975" i="1" s="1"/>
  <c r="AO975" i="1"/>
  <c r="AK975" i="1"/>
  <c r="AJ975" i="1"/>
  <c r="AH975" i="1"/>
  <c r="AG975" i="1"/>
  <c r="AF975" i="1"/>
  <c r="AE975" i="1"/>
  <c r="AD975" i="1"/>
  <c r="Z975" i="1"/>
  <c r="O975" i="1"/>
  <c r="BF975" i="1" s="1"/>
  <c r="L975" i="1"/>
  <c r="AL975" i="1" s="1"/>
  <c r="BW970" i="1"/>
  <c r="BJ970" i="1"/>
  <c r="BD970" i="1"/>
  <c r="AP970" i="1"/>
  <c r="AX970" i="1" s="1"/>
  <c r="AO970" i="1"/>
  <c r="J970" i="1" s="1"/>
  <c r="AK970" i="1"/>
  <c r="AJ970" i="1"/>
  <c r="AH970" i="1"/>
  <c r="AG970" i="1"/>
  <c r="AF970" i="1"/>
  <c r="AE970" i="1"/>
  <c r="AD970" i="1"/>
  <c r="Z970" i="1"/>
  <c r="O970" i="1"/>
  <c r="BF970" i="1" s="1"/>
  <c r="L970" i="1"/>
  <c r="AL970" i="1" s="1"/>
  <c r="BW966" i="1"/>
  <c r="BJ966" i="1"/>
  <c r="BD966" i="1"/>
  <c r="AP966" i="1"/>
  <c r="AX966" i="1" s="1"/>
  <c r="AO966" i="1"/>
  <c r="AW966" i="1" s="1"/>
  <c r="AK966" i="1"/>
  <c r="AJ966" i="1"/>
  <c r="AH966" i="1"/>
  <c r="AG966" i="1"/>
  <c r="AF966" i="1"/>
  <c r="AE966" i="1"/>
  <c r="AD966" i="1"/>
  <c r="Z966" i="1"/>
  <c r="O966" i="1"/>
  <c r="BF966" i="1" s="1"/>
  <c r="L966" i="1"/>
  <c r="AL966" i="1" s="1"/>
  <c r="BW962" i="1"/>
  <c r="BJ962" i="1"/>
  <c r="BD962" i="1"/>
  <c r="AP962" i="1"/>
  <c r="AX962" i="1" s="1"/>
  <c r="AO962" i="1"/>
  <c r="AK962" i="1"/>
  <c r="AJ962" i="1"/>
  <c r="AH962" i="1"/>
  <c r="AG962" i="1"/>
  <c r="AF962" i="1"/>
  <c r="AE962" i="1"/>
  <c r="AD962" i="1"/>
  <c r="Z962" i="1"/>
  <c r="O962" i="1"/>
  <c r="BF962" i="1" s="1"/>
  <c r="L962" i="1"/>
  <c r="AL962" i="1" s="1"/>
  <c r="BW958" i="1"/>
  <c r="BJ958" i="1"/>
  <c r="BD958" i="1"/>
  <c r="AP958" i="1"/>
  <c r="AX958" i="1" s="1"/>
  <c r="AO958" i="1"/>
  <c r="BH958" i="1" s="1"/>
  <c r="AB958" i="1" s="1"/>
  <c r="AK958" i="1"/>
  <c r="AJ958" i="1"/>
  <c r="AH958" i="1"/>
  <c r="AG958" i="1"/>
  <c r="AF958" i="1"/>
  <c r="AE958" i="1"/>
  <c r="AD958" i="1"/>
  <c r="Z958" i="1"/>
  <c r="O958" i="1"/>
  <c r="BF958" i="1" s="1"/>
  <c r="L958" i="1"/>
  <c r="AL958" i="1" s="1"/>
  <c r="BW954" i="1"/>
  <c r="BJ954" i="1"/>
  <c r="BD954" i="1"/>
  <c r="AP954" i="1"/>
  <c r="AX954" i="1" s="1"/>
  <c r="AO954" i="1"/>
  <c r="AW954" i="1" s="1"/>
  <c r="AK954" i="1"/>
  <c r="AJ954" i="1"/>
  <c r="AH954" i="1"/>
  <c r="AG954" i="1"/>
  <c r="AF954" i="1"/>
  <c r="AE954" i="1"/>
  <c r="AD954" i="1"/>
  <c r="Z954" i="1"/>
  <c r="O954" i="1"/>
  <c r="BF954" i="1" s="1"/>
  <c r="L954" i="1"/>
  <c r="AL954" i="1" s="1"/>
  <c r="BW945" i="1"/>
  <c r="BJ945" i="1"/>
  <c r="BD945" i="1"/>
  <c r="AP945" i="1"/>
  <c r="AX945" i="1" s="1"/>
  <c r="AO945" i="1"/>
  <c r="AK945" i="1"/>
  <c r="AJ945" i="1"/>
  <c r="AH945" i="1"/>
  <c r="AG945" i="1"/>
  <c r="AF945" i="1"/>
  <c r="AE945" i="1"/>
  <c r="AD945" i="1"/>
  <c r="Z945" i="1"/>
  <c r="O945" i="1"/>
  <c r="BF945" i="1" s="1"/>
  <c r="L945" i="1"/>
  <c r="AL945" i="1" s="1"/>
  <c r="BW941" i="1"/>
  <c r="BJ941" i="1"/>
  <c r="BD941" i="1"/>
  <c r="AP941" i="1"/>
  <c r="BI941" i="1" s="1"/>
  <c r="AC941" i="1" s="1"/>
  <c r="AO941" i="1"/>
  <c r="AW941" i="1" s="1"/>
  <c r="AK941" i="1"/>
  <c r="AJ941" i="1"/>
  <c r="AH941" i="1"/>
  <c r="AG941" i="1"/>
  <c r="AF941" i="1"/>
  <c r="AE941" i="1"/>
  <c r="AD941" i="1"/>
  <c r="Z941" i="1"/>
  <c r="O941" i="1"/>
  <c r="BF941" i="1" s="1"/>
  <c r="L941" i="1"/>
  <c r="AL941" i="1" s="1"/>
  <c r="BW937" i="1"/>
  <c r="BJ937" i="1"/>
  <c r="BD937" i="1"/>
  <c r="AP937" i="1"/>
  <c r="AX937" i="1" s="1"/>
  <c r="AO937" i="1"/>
  <c r="AW937" i="1" s="1"/>
  <c r="AK937" i="1"/>
  <c r="AJ937" i="1"/>
  <c r="AH937" i="1"/>
  <c r="AG937" i="1"/>
  <c r="AF937" i="1"/>
  <c r="AE937" i="1"/>
  <c r="AD937" i="1"/>
  <c r="Z937" i="1"/>
  <c r="O937" i="1"/>
  <c r="BF937" i="1" s="1"/>
  <c r="L937" i="1"/>
  <c r="AL937" i="1" s="1"/>
  <c r="BW921" i="1"/>
  <c r="BJ921" i="1"/>
  <c r="BD921" i="1"/>
  <c r="AP921" i="1"/>
  <c r="BI921" i="1" s="1"/>
  <c r="AC921" i="1" s="1"/>
  <c r="AO921" i="1"/>
  <c r="AK921" i="1"/>
  <c r="AJ921" i="1"/>
  <c r="AH921" i="1"/>
  <c r="AG921" i="1"/>
  <c r="AF921" i="1"/>
  <c r="AE921" i="1"/>
  <c r="AD921" i="1"/>
  <c r="Z921" i="1"/>
  <c r="O921" i="1"/>
  <c r="BF921" i="1" s="1"/>
  <c r="L921" i="1"/>
  <c r="BW906" i="1"/>
  <c r="BJ906" i="1"/>
  <c r="BD906" i="1"/>
  <c r="AP906" i="1"/>
  <c r="AX906" i="1" s="1"/>
  <c r="AO906" i="1"/>
  <c r="J906" i="1" s="1"/>
  <c r="AK906" i="1"/>
  <c r="AJ906" i="1"/>
  <c r="AH906" i="1"/>
  <c r="AG906" i="1"/>
  <c r="AF906" i="1"/>
  <c r="AE906" i="1"/>
  <c r="AD906" i="1"/>
  <c r="Z906" i="1"/>
  <c r="O906" i="1"/>
  <c r="BF906" i="1" s="1"/>
  <c r="L906" i="1"/>
  <c r="AL906" i="1" s="1"/>
  <c r="BW903" i="1"/>
  <c r="BJ903" i="1"/>
  <c r="BD903" i="1"/>
  <c r="AP903" i="1"/>
  <c r="AX903" i="1" s="1"/>
  <c r="AO903" i="1"/>
  <c r="AW903" i="1" s="1"/>
  <c r="AK903" i="1"/>
  <c r="AJ903" i="1"/>
  <c r="AH903" i="1"/>
  <c r="AG903" i="1"/>
  <c r="AF903" i="1"/>
  <c r="AE903" i="1"/>
  <c r="AD903" i="1"/>
  <c r="Z903" i="1"/>
  <c r="O903" i="1"/>
  <c r="BF903" i="1" s="1"/>
  <c r="L903" i="1"/>
  <c r="AL903" i="1" s="1"/>
  <c r="BW899" i="1"/>
  <c r="BJ899" i="1"/>
  <c r="BD899" i="1"/>
  <c r="AP899" i="1"/>
  <c r="BI899" i="1" s="1"/>
  <c r="AC899" i="1" s="1"/>
  <c r="AO899" i="1"/>
  <c r="AK899" i="1"/>
  <c r="AJ899" i="1"/>
  <c r="AH899" i="1"/>
  <c r="AG899" i="1"/>
  <c r="AF899" i="1"/>
  <c r="AE899" i="1"/>
  <c r="AD899" i="1"/>
  <c r="Z899" i="1"/>
  <c r="O899" i="1"/>
  <c r="BF899" i="1" s="1"/>
  <c r="L899" i="1"/>
  <c r="AL899" i="1" s="1"/>
  <c r="BW896" i="1"/>
  <c r="BJ896" i="1"/>
  <c r="BD896" i="1"/>
  <c r="AP896" i="1"/>
  <c r="BI896" i="1" s="1"/>
  <c r="AC896" i="1" s="1"/>
  <c r="AO896" i="1"/>
  <c r="J896" i="1" s="1"/>
  <c r="AK896" i="1"/>
  <c r="AJ896" i="1"/>
  <c r="AH896" i="1"/>
  <c r="AG896" i="1"/>
  <c r="AF896" i="1"/>
  <c r="AE896" i="1"/>
  <c r="AD896" i="1"/>
  <c r="Z896" i="1"/>
  <c r="O896" i="1"/>
  <c r="BF896" i="1" s="1"/>
  <c r="L896" i="1"/>
  <c r="AL896" i="1" s="1"/>
  <c r="BW889" i="1"/>
  <c r="BJ889" i="1"/>
  <c r="BD889" i="1"/>
  <c r="AP889" i="1"/>
  <c r="AX889" i="1" s="1"/>
  <c r="AO889" i="1"/>
  <c r="AW889" i="1" s="1"/>
  <c r="AK889" i="1"/>
  <c r="AJ889" i="1"/>
  <c r="AH889" i="1"/>
  <c r="AG889" i="1"/>
  <c r="AF889" i="1"/>
  <c r="AE889" i="1"/>
  <c r="AD889" i="1"/>
  <c r="Z889" i="1"/>
  <c r="O889" i="1"/>
  <c r="BF889" i="1" s="1"/>
  <c r="L889" i="1"/>
  <c r="AL889" i="1" s="1"/>
  <c r="BW886" i="1"/>
  <c r="BJ886" i="1"/>
  <c r="BD886" i="1"/>
  <c r="AP886" i="1"/>
  <c r="AO886" i="1"/>
  <c r="AK886" i="1"/>
  <c r="AJ886" i="1"/>
  <c r="AH886" i="1"/>
  <c r="AG886" i="1"/>
  <c r="AF886" i="1"/>
  <c r="AE886" i="1"/>
  <c r="AD886" i="1"/>
  <c r="Z886" i="1"/>
  <c r="O886" i="1"/>
  <c r="BF886" i="1" s="1"/>
  <c r="L886" i="1"/>
  <c r="BW882" i="1"/>
  <c r="BJ882" i="1"/>
  <c r="BD882" i="1"/>
  <c r="AP882" i="1"/>
  <c r="BI882" i="1" s="1"/>
  <c r="AC882" i="1" s="1"/>
  <c r="AO882" i="1"/>
  <c r="BH882" i="1" s="1"/>
  <c r="AB882" i="1" s="1"/>
  <c r="AK882" i="1"/>
  <c r="AJ882" i="1"/>
  <c r="AH882" i="1"/>
  <c r="AG882" i="1"/>
  <c r="AF882" i="1"/>
  <c r="AE882" i="1"/>
  <c r="AD882" i="1"/>
  <c r="Z882" i="1"/>
  <c r="O882" i="1"/>
  <c r="BF882" i="1" s="1"/>
  <c r="L882" i="1"/>
  <c r="AL882" i="1" s="1"/>
  <c r="BW873" i="1"/>
  <c r="BJ873" i="1"/>
  <c r="BD873" i="1"/>
  <c r="AP873" i="1"/>
  <c r="AX873" i="1" s="1"/>
  <c r="AO873" i="1"/>
  <c r="AW873" i="1" s="1"/>
  <c r="AK873" i="1"/>
  <c r="AJ873" i="1"/>
  <c r="AH873" i="1"/>
  <c r="AG873" i="1"/>
  <c r="AF873" i="1"/>
  <c r="AE873" i="1"/>
  <c r="AD873" i="1"/>
  <c r="Z873" i="1"/>
  <c r="O873" i="1"/>
  <c r="BF873" i="1" s="1"/>
  <c r="L873" i="1"/>
  <c r="AL873" i="1" s="1"/>
  <c r="BW867" i="1"/>
  <c r="BJ867" i="1"/>
  <c r="BD867" i="1"/>
  <c r="AP867" i="1"/>
  <c r="AO867" i="1"/>
  <c r="AK867" i="1"/>
  <c r="AJ867" i="1"/>
  <c r="AH867" i="1"/>
  <c r="AG867" i="1"/>
  <c r="AF867" i="1"/>
  <c r="AE867" i="1"/>
  <c r="AD867" i="1"/>
  <c r="Z867" i="1"/>
  <c r="O867" i="1"/>
  <c r="BF867" i="1" s="1"/>
  <c r="L867" i="1"/>
  <c r="BW862" i="1"/>
  <c r="BJ862" i="1"/>
  <c r="BD862" i="1"/>
  <c r="AP862" i="1"/>
  <c r="AX862" i="1" s="1"/>
  <c r="AO862" i="1"/>
  <c r="BH862" i="1" s="1"/>
  <c r="AB862" i="1" s="1"/>
  <c r="AK862" i="1"/>
  <c r="AJ862" i="1"/>
  <c r="AH862" i="1"/>
  <c r="AG862" i="1"/>
  <c r="AF862" i="1"/>
  <c r="AE862" i="1"/>
  <c r="AD862" i="1"/>
  <c r="Z862" i="1"/>
  <c r="O862" i="1"/>
  <c r="BF862" i="1" s="1"/>
  <c r="L862" i="1"/>
  <c r="AL862" i="1" s="1"/>
  <c r="BW860" i="1"/>
  <c r="BJ860" i="1"/>
  <c r="BD860" i="1"/>
  <c r="AP860" i="1"/>
  <c r="BI860" i="1" s="1"/>
  <c r="AC860" i="1" s="1"/>
  <c r="AO860" i="1"/>
  <c r="AK860" i="1"/>
  <c r="AJ860" i="1"/>
  <c r="AH860" i="1"/>
  <c r="AG860" i="1"/>
  <c r="AF860" i="1"/>
  <c r="AE860" i="1"/>
  <c r="AD860" i="1"/>
  <c r="Z860" i="1"/>
  <c r="O860" i="1"/>
  <c r="BF860" i="1" s="1"/>
  <c r="L860" i="1"/>
  <c r="AL860" i="1" s="1"/>
  <c r="BW859" i="1"/>
  <c r="BJ859" i="1"/>
  <c r="BD859" i="1"/>
  <c r="AP859" i="1"/>
  <c r="AX859" i="1" s="1"/>
  <c r="AO859" i="1"/>
  <c r="AW859" i="1" s="1"/>
  <c r="AK859" i="1"/>
  <c r="AJ859" i="1"/>
  <c r="AH859" i="1"/>
  <c r="AG859" i="1"/>
  <c r="AF859" i="1"/>
  <c r="AE859" i="1"/>
  <c r="AD859" i="1"/>
  <c r="Z859" i="1"/>
  <c r="O859" i="1"/>
  <c r="BF859" i="1" s="1"/>
  <c r="L859" i="1"/>
  <c r="BW844" i="1"/>
  <c r="BJ844" i="1"/>
  <c r="BD844" i="1"/>
  <c r="AP844" i="1"/>
  <c r="K844" i="1" s="1"/>
  <c r="AO844" i="1"/>
  <c r="AK844" i="1"/>
  <c r="AJ844" i="1"/>
  <c r="AH844" i="1"/>
  <c r="AG844" i="1"/>
  <c r="AF844" i="1"/>
  <c r="AE844" i="1"/>
  <c r="AD844" i="1"/>
  <c r="Z844" i="1"/>
  <c r="O844" i="1"/>
  <c r="BF844" i="1" s="1"/>
  <c r="L844" i="1"/>
  <c r="BW772" i="1"/>
  <c r="BJ772" i="1"/>
  <c r="BD772" i="1"/>
  <c r="AP772" i="1"/>
  <c r="BI772" i="1" s="1"/>
  <c r="AC772" i="1" s="1"/>
  <c r="AO772" i="1"/>
  <c r="J772" i="1" s="1"/>
  <c r="AK772" i="1"/>
  <c r="AJ772" i="1"/>
  <c r="AH772" i="1"/>
  <c r="AG772" i="1"/>
  <c r="AF772" i="1"/>
  <c r="AE772" i="1"/>
  <c r="AD772" i="1"/>
  <c r="Z772" i="1"/>
  <c r="O772" i="1"/>
  <c r="BF772" i="1" s="1"/>
  <c r="L772" i="1"/>
  <c r="AL772" i="1" s="1"/>
  <c r="BW701" i="1"/>
  <c r="BJ701" i="1"/>
  <c r="BD701" i="1"/>
  <c r="AP701" i="1"/>
  <c r="AX701" i="1" s="1"/>
  <c r="AO701" i="1"/>
  <c r="AW701" i="1" s="1"/>
  <c r="AK701" i="1"/>
  <c r="AJ701" i="1"/>
  <c r="AH701" i="1"/>
  <c r="AG701" i="1"/>
  <c r="AF701" i="1"/>
  <c r="AE701" i="1"/>
  <c r="AD701" i="1"/>
  <c r="Z701" i="1"/>
  <c r="O701" i="1"/>
  <c r="BF701" i="1" s="1"/>
  <c r="L701" i="1"/>
  <c r="AL701" i="1" s="1"/>
  <c r="BW697" i="1"/>
  <c r="BJ697" i="1"/>
  <c r="BD697" i="1"/>
  <c r="AP697" i="1"/>
  <c r="BI697" i="1" s="1"/>
  <c r="AC697" i="1" s="1"/>
  <c r="AO697" i="1"/>
  <c r="AK697" i="1"/>
  <c r="AJ697" i="1"/>
  <c r="AH697" i="1"/>
  <c r="AG697" i="1"/>
  <c r="AF697" i="1"/>
  <c r="AE697" i="1"/>
  <c r="AD697" i="1"/>
  <c r="Z697" i="1"/>
  <c r="O697" i="1"/>
  <c r="BF697" i="1" s="1"/>
  <c r="L697" i="1"/>
  <c r="BW693" i="1"/>
  <c r="BJ693" i="1"/>
  <c r="BD693" i="1"/>
  <c r="AP693" i="1"/>
  <c r="K693" i="1" s="1"/>
  <c r="AO693" i="1"/>
  <c r="BH693" i="1" s="1"/>
  <c r="AB693" i="1" s="1"/>
  <c r="AK693" i="1"/>
  <c r="AJ693" i="1"/>
  <c r="AH693" i="1"/>
  <c r="AG693" i="1"/>
  <c r="AF693" i="1"/>
  <c r="AE693" i="1"/>
  <c r="AD693" i="1"/>
  <c r="Z693" i="1"/>
  <c r="O693" i="1"/>
  <c r="BF693" i="1" s="1"/>
  <c r="L693" i="1"/>
  <c r="AL693" i="1" s="1"/>
  <c r="BW691" i="1"/>
  <c r="BJ691" i="1"/>
  <c r="BD691" i="1"/>
  <c r="AP691" i="1"/>
  <c r="AX691" i="1" s="1"/>
  <c r="AO691" i="1"/>
  <c r="AW691" i="1" s="1"/>
  <c r="AK691" i="1"/>
  <c r="AJ691" i="1"/>
  <c r="AH691" i="1"/>
  <c r="AG691" i="1"/>
  <c r="AF691" i="1"/>
  <c r="AE691" i="1"/>
  <c r="AD691" i="1"/>
  <c r="Z691" i="1"/>
  <c r="O691" i="1"/>
  <c r="BF691" i="1" s="1"/>
  <c r="L691" i="1"/>
  <c r="AL691" i="1" s="1"/>
  <c r="BW687" i="1"/>
  <c r="BJ687" i="1"/>
  <c r="BD687" i="1"/>
  <c r="AP687" i="1"/>
  <c r="AO687" i="1"/>
  <c r="AW687" i="1" s="1"/>
  <c r="AK687" i="1"/>
  <c r="AJ687" i="1"/>
  <c r="AH687" i="1"/>
  <c r="AG687" i="1"/>
  <c r="AF687" i="1"/>
  <c r="AE687" i="1"/>
  <c r="AD687" i="1"/>
  <c r="Z687" i="1"/>
  <c r="O687" i="1"/>
  <c r="BF687" i="1" s="1"/>
  <c r="L687" i="1"/>
  <c r="BW685" i="1"/>
  <c r="BJ685" i="1"/>
  <c r="BD685" i="1"/>
  <c r="AP685" i="1"/>
  <c r="BI685" i="1" s="1"/>
  <c r="AC685" i="1" s="1"/>
  <c r="AO685" i="1"/>
  <c r="AK685" i="1"/>
  <c r="AJ685" i="1"/>
  <c r="AH685" i="1"/>
  <c r="AG685" i="1"/>
  <c r="AF685" i="1"/>
  <c r="AE685" i="1"/>
  <c r="AD685" i="1"/>
  <c r="Z685" i="1"/>
  <c r="O685" i="1"/>
  <c r="L685" i="1"/>
  <c r="BW681" i="1"/>
  <c r="BJ681" i="1"/>
  <c r="BD681" i="1"/>
  <c r="AP681" i="1"/>
  <c r="AX681" i="1" s="1"/>
  <c r="AO681" i="1"/>
  <c r="AK681" i="1"/>
  <c r="AJ681" i="1"/>
  <c r="AH681" i="1"/>
  <c r="AG681" i="1"/>
  <c r="AF681" i="1"/>
  <c r="AE681" i="1"/>
  <c r="AD681" i="1"/>
  <c r="Z681" i="1"/>
  <c r="O681" i="1"/>
  <c r="BF681" i="1" s="1"/>
  <c r="L681" i="1"/>
  <c r="BW678" i="1"/>
  <c r="BJ678" i="1"/>
  <c r="BD678" i="1"/>
  <c r="AP678" i="1"/>
  <c r="AX678" i="1" s="1"/>
  <c r="AO678" i="1"/>
  <c r="BH678" i="1" s="1"/>
  <c r="AB678" i="1" s="1"/>
  <c r="AK678" i="1"/>
  <c r="AJ678" i="1"/>
  <c r="AH678" i="1"/>
  <c r="AG678" i="1"/>
  <c r="AF678" i="1"/>
  <c r="AE678" i="1"/>
  <c r="AD678" i="1"/>
  <c r="Z678" i="1"/>
  <c r="O678" i="1"/>
  <c r="BF678" i="1" s="1"/>
  <c r="L678" i="1"/>
  <c r="AL678" i="1" s="1"/>
  <c r="BW665" i="1"/>
  <c r="BJ665" i="1"/>
  <c r="BD665" i="1"/>
  <c r="AP665" i="1"/>
  <c r="BI665" i="1" s="1"/>
  <c r="AC665" i="1" s="1"/>
  <c r="AO665" i="1"/>
  <c r="BH665" i="1" s="1"/>
  <c r="AB665" i="1" s="1"/>
  <c r="AK665" i="1"/>
  <c r="AT664" i="1" s="1"/>
  <c r="AJ665" i="1"/>
  <c r="AS664" i="1" s="1"/>
  <c r="AH665" i="1"/>
  <c r="AG665" i="1"/>
  <c r="AF665" i="1"/>
  <c r="AE665" i="1"/>
  <c r="AD665" i="1"/>
  <c r="Z665" i="1"/>
  <c r="O665" i="1"/>
  <c r="O664" i="1" s="1"/>
  <c r="G24" i="2" s="1"/>
  <c r="L665" i="1"/>
  <c r="BW658" i="1"/>
  <c r="BJ658" i="1"/>
  <c r="BD658" i="1"/>
  <c r="AP658" i="1"/>
  <c r="AX658" i="1" s="1"/>
  <c r="AO658" i="1"/>
  <c r="AW658" i="1" s="1"/>
  <c r="AK658" i="1"/>
  <c r="AT657" i="1" s="1"/>
  <c r="AJ658" i="1"/>
  <c r="AS657" i="1" s="1"/>
  <c r="AH658" i="1"/>
  <c r="AG658" i="1"/>
  <c r="AF658" i="1"/>
  <c r="AE658" i="1"/>
  <c r="AD658" i="1"/>
  <c r="Z658" i="1"/>
  <c r="O658" i="1"/>
  <c r="BF658" i="1" s="1"/>
  <c r="L658" i="1"/>
  <c r="AL658" i="1" s="1"/>
  <c r="AU657" i="1" s="1"/>
  <c r="BW654" i="1"/>
  <c r="BJ654" i="1"/>
  <c r="BD654" i="1"/>
  <c r="AP654" i="1"/>
  <c r="AX654" i="1" s="1"/>
  <c r="AO654" i="1"/>
  <c r="AK654" i="1"/>
  <c r="AJ654" i="1"/>
  <c r="AH654" i="1"/>
  <c r="AG654" i="1"/>
  <c r="AF654" i="1"/>
  <c r="AE654" i="1"/>
  <c r="AD654" i="1"/>
  <c r="Z654" i="1"/>
  <c r="O654" i="1"/>
  <c r="BF654" i="1" s="1"/>
  <c r="L654" i="1"/>
  <c r="AL654" i="1" s="1"/>
  <c r="BW651" i="1"/>
  <c r="BJ651" i="1"/>
  <c r="BD651" i="1"/>
  <c r="AP651" i="1"/>
  <c r="AO651" i="1"/>
  <c r="AW651" i="1" s="1"/>
  <c r="AK651" i="1"/>
  <c r="AJ651" i="1"/>
  <c r="AH651" i="1"/>
  <c r="AG651" i="1"/>
  <c r="AF651" i="1"/>
  <c r="AE651" i="1"/>
  <c r="AD651" i="1"/>
  <c r="Z651" i="1"/>
  <c r="O651" i="1"/>
  <c r="BF651" i="1" s="1"/>
  <c r="L651" i="1"/>
  <c r="AL651" i="1" s="1"/>
  <c r="BW650" i="1"/>
  <c r="BJ650" i="1"/>
  <c r="BD650" i="1"/>
  <c r="AP650" i="1"/>
  <c r="BI650" i="1" s="1"/>
  <c r="AC650" i="1" s="1"/>
  <c r="AO650" i="1"/>
  <c r="AK650" i="1"/>
  <c r="AJ650" i="1"/>
  <c r="AH650" i="1"/>
  <c r="AG650" i="1"/>
  <c r="AF650" i="1"/>
  <c r="AE650" i="1"/>
  <c r="AD650" i="1"/>
  <c r="Z650" i="1"/>
  <c r="O650" i="1"/>
  <c r="BF650" i="1" s="1"/>
  <c r="L650" i="1"/>
  <c r="BW640" i="1"/>
  <c r="BJ640" i="1"/>
  <c r="BD640" i="1"/>
  <c r="AP640" i="1"/>
  <c r="BI640" i="1" s="1"/>
  <c r="AC640" i="1" s="1"/>
  <c r="AO640" i="1"/>
  <c r="BH640" i="1" s="1"/>
  <c r="AB640" i="1" s="1"/>
  <c r="AK640" i="1"/>
  <c r="AJ640" i="1"/>
  <c r="AH640" i="1"/>
  <c r="AG640" i="1"/>
  <c r="AF640" i="1"/>
  <c r="AE640" i="1"/>
  <c r="AD640" i="1"/>
  <c r="Z640" i="1"/>
  <c r="O640" i="1"/>
  <c r="BF640" i="1" s="1"/>
  <c r="L640" i="1"/>
  <c r="AL640" i="1" s="1"/>
  <c r="BW639" i="1"/>
  <c r="BJ639" i="1"/>
  <c r="BD639" i="1"/>
  <c r="AP639" i="1"/>
  <c r="AO639" i="1"/>
  <c r="AW639" i="1" s="1"/>
  <c r="AK639" i="1"/>
  <c r="AJ639" i="1"/>
  <c r="AH639" i="1"/>
  <c r="AG639" i="1"/>
  <c r="AF639" i="1"/>
  <c r="AE639" i="1"/>
  <c r="AD639" i="1"/>
  <c r="Z639" i="1"/>
  <c r="O639" i="1"/>
  <c r="BF639" i="1" s="1"/>
  <c r="L639" i="1"/>
  <c r="AL639" i="1" s="1"/>
  <c r="BW629" i="1"/>
  <c r="BJ629" i="1"/>
  <c r="BD629" i="1"/>
  <c r="AP629" i="1"/>
  <c r="K629" i="1" s="1"/>
  <c r="AO629" i="1"/>
  <c r="AK629" i="1"/>
  <c r="AJ629" i="1"/>
  <c r="AH629" i="1"/>
  <c r="AG629" i="1"/>
  <c r="AF629" i="1"/>
  <c r="AE629" i="1"/>
  <c r="AD629" i="1"/>
  <c r="Z629" i="1"/>
  <c r="O629" i="1"/>
  <c r="BF629" i="1" s="1"/>
  <c r="L629" i="1"/>
  <c r="AL629" i="1" s="1"/>
  <c r="BW624" i="1"/>
  <c r="BJ624" i="1"/>
  <c r="BD624" i="1"/>
  <c r="AP624" i="1"/>
  <c r="K624" i="1" s="1"/>
  <c r="AO624" i="1"/>
  <c r="AW624" i="1" s="1"/>
  <c r="AK624" i="1"/>
  <c r="AJ624" i="1"/>
  <c r="AH624" i="1"/>
  <c r="AG624" i="1"/>
  <c r="AF624" i="1"/>
  <c r="AE624" i="1"/>
  <c r="AD624" i="1"/>
  <c r="Z624" i="1"/>
  <c r="O624" i="1"/>
  <c r="BF624" i="1" s="1"/>
  <c r="L624" i="1"/>
  <c r="AL624" i="1" s="1"/>
  <c r="BW623" i="1"/>
  <c r="BJ623" i="1"/>
  <c r="BD623" i="1"/>
  <c r="AP623" i="1"/>
  <c r="AO623" i="1"/>
  <c r="AW623" i="1" s="1"/>
  <c r="AK623" i="1"/>
  <c r="AJ623" i="1"/>
  <c r="AH623" i="1"/>
  <c r="AG623" i="1"/>
  <c r="AF623" i="1"/>
  <c r="AE623" i="1"/>
  <c r="AD623" i="1"/>
  <c r="Z623" i="1"/>
  <c r="O623" i="1"/>
  <c r="BF623" i="1" s="1"/>
  <c r="L623" i="1"/>
  <c r="AL623" i="1" s="1"/>
  <c r="BW584" i="1"/>
  <c r="BJ584" i="1"/>
  <c r="BD584" i="1"/>
  <c r="AP584" i="1"/>
  <c r="BI584" i="1" s="1"/>
  <c r="AC584" i="1" s="1"/>
  <c r="AO584" i="1"/>
  <c r="AK584" i="1"/>
  <c r="AJ584" i="1"/>
  <c r="AH584" i="1"/>
  <c r="AG584" i="1"/>
  <c r="AF584" i="1"/>
  <c r="AE584" i="1"/>
  <c r="AD584" i="1"/>
  <c r="Z584" i="1"/>
  <c r="O584" i="1"/>
  <c r="BF584" i="1" s="1"/>
  <c r="L584" i="1"/>
  <c r="AL584" i="1" s="1"/>
  <c r="BW548" i="1"/>
  <c r="BJ548" i="1"/>
  <c r="BD548" i="1"/>
  <c r="AP548" i="1"/>
  <c r="BI548" i="1" s="1"/>
  <c r="AC548" i="1" s="1"/>
  <c r="AO548" i="1"/>
  <c r="AW548" i="1" s="1"/>
  <c r="AK548" i="1"/>
  <c r="AJ548" i="1"/>
  <c r="AH548" i="1"/>
  <c r="AG548" i="1"/>
  <c r="AF548" i="1"/>
  <c r="AE548" i="1"/>
  <c r="AD548" i="1"/>
  <c r="Z548" i="1"/>
  <c r="O548" i="1"/>
  <c r="BF548" i="1" s="1"/>
  <c r="L548" i="1"/>
  <c r="AL548" i="1" s="1"/>
  <c r="BW542" i="1"/>
  <c r="BJ542" i="1"/>
  <c r="BD542" i="1"/>
  <c r="AP542" i="1"/>
  <c r="AO542" i="1"/>
  <c r="J542" i="1" s="1"/>
  <c r="AK542" i="1"/>
  <c r="AJ542" i="1"/>
  <c r="AH542" i="1"/>
  <c r="AG542" i="1"/>
  <c r="AF542" i="1"/>
  <c r="AE542" i="1"/>
  <c r="AD542" i="1"/>
  <c r="Z542" i="1"/>
  <c r="O542" i="1"/>
  <c r="BF542" i="1" s="1"/>
  <c r="L542" i="1"/>
  <c r="AL542" i="1" s="1"/>
  <c r="BW536" i="1"/>
  <c r="BJ536" i="1"/>
  <c r="BD536" i="1"/>
  <c r="AP536" i="1"/>
  <c r="BI536" i="1" s="1"/>
  <c r="AC536" i="1" s="1"/>
  <c r="AO536" i="1"/>
  <c r="AK536" i="1"/>
  <c r="AJ536" i="1"/>
  <c r="AH536" i="1"/>
  <c r="AG536" i="1"/>
  <c r="AF536" i="1"/>
  <c r="AE536" i="1"/>
  <c r="AD536" i="1"/>
  <c r="Z536" i="1"/>
  <c r="O536" i="1"/>
  <c r="BF536" i="1" s="1"/>
  <c r="L536" i="1"/>
  <c r="BW532" i="1"/>
  <c r="BJ532" i="1"/>
  <c r="BD532" i="1"/>
  <c r="AP532" i="1"/>
  <c r="AX532" i="1" s="1"/>
  <c r="AO532" i="1"/>
  <c r="BH532" i="1" s="1"/>
  <c r="AB532" i="1" s="1"/>
  <c r="AK532" i="1"/>
  <c r="AJ532" i="1"/>
  <c r="AH532" i="1"/>
  <c r="AG532" i="1"/>
  <c r="AF532" i="1"/>
  <c r="AE532" i="1"/>
  <c r="AD532" i="1"/>
  <c r="Z532" i="1"/>
  <c r="O532" i="1"/>
  <c r="BF532" i="1" s="1"/>
  <c r="L532" i="1"/>
  <c r="BW528" i="1"/>
  <c r="BJ528" i="1"/>
  <c r="BD528" i="1"/>
  <c r="AP528" i="1"/>
  <c r="AO528" i="1"/>
  <c r="J528" i="1" s="1"/>
  <c r="AK528" i="1"/>
  <c r="AJ528" i="1"/>
  <c r="AH528" i="1"/>
  <c r="AG528" i="1"/>
  <c r="AF528" i="1"/>
  <c r="AE528" i="1"/>
  <c r="AD528" i="1"/>
  <c r="Z528" i="1"/>
  <c r="O528" i="1"/>
  <c r="BF528" i="1" s="1"/>
  <c r="L528" i="1"/>
  <c r="AL528" i="1" s="1"/>
  <c r="BW527" i="1"/>
  <c r="BJ527" i="1"/>
  <c r="BD527" i="1"/>
  <c r="AP527" i="1"/>
  <c r="AX527" i="1" s="1"/>
  <c r="AO527" i="1"/>
  <c r="AW527" i="1" s="1"/>
  <c r="AK527" i="1"/>
  <c r="AJ527" i="1"/>
  <c r="AH527" i="1"/>
  <c r="AG527" i="1"/>
  <c r="AF527" i="1"/>
  <c r="AE527" i="1"/>
  <c r="AD527" i="1"/>
  <c r="Z527" i="1"/>
  <c r="O527" i="1"/>
  <c r="BF527" i="1" s="1"/>
  <c r="L527" i="1"/>
  <c r="AL527" i="1" s="1"/>
  <c r="BW526" i="1"/>
  <c r="BJ526" i="1"/>
  <c r="BD526" i="1"/>
  <c r="AP526" i="1"/>
  <c r="K526" i="1" s="1"/>
  <c r="AO526" i="1"/>
  <c r="BH526" i="1" s="1"/>
  <c r="AB526" i="1" s="1"/>
  <c r="AK526" i="1"/>
  <c r="AJ526" i="1"/>
  <c r="AH526" i="1"/>
  <c r="AG526" i="1"/>
  <c r="AF526" i="1"/>
  <c r="AE526" i="1"/>
  <c r="AD526" i="1"/>
  <c r="Z526" i="1"/>
  <c r="O526" i="1"/>
  <c r="BF526" i="1" s="1"/>
  <c r="L526" i="1"/>
  <c r="BW525" i="1"/>
  <c r="BJ525" i="1"/>
  <c r="BD525" i="1"/>
  <c r="AP525" i="1"/>
  <c r="AO525" i="1"/>
  <c r="AW525" i="1" s="1"/>
  <c r="AK525" i="1"/>
  <c r="AJ525" i="1"/>
  <c r="AH525" i="1"/>
  <c r="AG525" i="1"/>
  <c r="AF525" i="1"/>
  <c r="AE525" i="1"/>
  <c r="AD525" i="1"/>
  <c r="Z525" i="1"/>
  <c r="O525" i="1"/>
  <c r="BF525" i="1" s="1"/>
  <c r="L525" i="1"/>
  <c r="BW520" i="1"/>
  <c r="BJ520" i="1"/>
  <c r="BD520" i="1"/>
  <c r="AP520" i="1"/>
  <c r="BI520" i="1" s="1"/>
  <c r="AC520" i="1" s="1"/>
  <c r="AO520" i="1"/>
  <c r="AW520" i="1" s="1"/>
  <c r="AK520" i="1"/>
  <c r="AJ520" i="1"/>
  <c r="AH520" i="1"/>
  <c r="AG520" i="1"/>
  <c r="AF520" i="1"/>
  <c r="AE520" i="1"/>
  <c r="AD520" i="1"/>
  <c r="Z520" i="1"/>
  <c r="O520" i="1"/>
  <c r="BF520" i="1" s="1"/>
  <c r="L520" i="1"/>
  <c r="BW515" i="1"/>
  <c r="BJ515" i="1"/>
  <c r="BD515" i="1"/>
  <c r="AP515" i="1"/>
  <c r="BI515" i="1" s="1"/>
  <c r="AC515" i="1" s="1"/>
  <c r="AO515" i="1"/>
  <c r="AK515" i="1"/>
  <c r="AJ515" i="1"/>
  <c r="AH515" i="1"/>
  <c r="AG515" i="1"/>
  <c r="AF515" i="1"/>
  <c r="AE515" i="1"/>
  <c r="AD515" i="1"/>
  <c r="Z515" i="1"/>
  <c r="O515" i="1"/>
  <c r="BF515" i="1" s="1"/>
  <c r="L515" i="1"/>
  <c r="BW510" i="1"/>
  <c r="BJ510" i="1"/>
  <c r="BD510" i="1"/>
  <c r="AP510" i="1"/>
  <c r="AO510" i="1"/>
  <c r="AW510" i="1" s="1"/>
  <c r="AK510" i="1"/>
  <c r="AJ510" i="1"/>
  <c r="AH510" i="1"/>
  <c r="AG510" i="1"/>
  <c r="AF510" i="1"/>
  <c r="AE510" i="1"/>
  <c r="AD510" i="1"/>
  <c r="Z510" i="1"/>
  <c r="O510" i="1"/>
  <c r="BF510" i="1" s="1"/>
  <c r="L510" i="1"/>
  <c r="AL510" i="1" s="1"/>
  <c r="BW505" i="1"/>
  <c r="BJ505" i="1"/>
  <c r="BD505" i="1"/>
  <c r="AP505" i="1"/>
  <c r="BI505" i="1" s="1"/>
  <c r="AC505" i="1" s="1"/>
  <c r="AO505" i="1"/>
  <c r="AW505" i="1" s="1"/>
  <c r="AK505" i="1"/>
  <c r="AJ505" i="1"/>
  <c r="AH505" i="1"/>
  <c r="AG505" i="1"/>
  <c r="AF505" i="1"/>
  <c r="AE505" i="1"/>
  <c r="AD505" i="1"/>
  <c r="Z505" i="1"/>
  <c r="O505" i="1"/>
  <c r="BF505" i="1" s="1"/>
  <c r="L505" i="1"/>
  <c r="AL505" i="1" s="1"/>
  <c r="BW504" i="1"/>
  <c r="BJ504" i="1"/>
  <c r="BD504" i="1"/>
  <c r="AP504" i="1"/>
  <c r="K504" i="1" s="1"/>
  <c r="AO504" i="1"/>
  <c r="BH504" i="1" s="1"/>
  <c r="AB504" i="1" s="1"/>
  <c r="AK504" i="1"/>
  <c r="AJ504" i="1"/>
  <c r="AH504" i="1"/>
  <c r="AG504" i="1"/>
  <c r="AF504" i="1"/>
  <c r="AE504" i="1"/>
  <c r="AD504" i="1"/>
  <c r="Z504" i="1"/>
  <c r="O504" i="1"/>
  <c r="BF504" i="1" s="1"/>
  <c r="L504" i="1"/>
  <c r="BW490" i="1"/>
  <c r="BJ490" i="1"/>
  <c r="BD490" i="1"/>
  <c r="AP490" i="1"/>
  <c r="AO490" i="1"/>
  <c r="AW490" i="1" s="1"/>
  <c r="AK490" i="1"/>
  <c r="AJ490" i="1"/>
  <c r="AH490" i="1"/>
  <c r="AG490" i="1"/>
  <c r="AF490" i="1"/>
  <c r="AE490" i="1"/>
  <c r="AD490" i="1"/>
  <c r="Z490" i="1"/>
  <c r="O490" i="1"/>
  <c r="BF490" i="1" s="1"/>
  <c r="L490" i="1"/>
  <c r="AL490" i="1" s="1"/>
  <c r="BW481" i="1"/>
  <c r="BJ481" i="1"/>
  <c r="BD481" i="1"/>
  <c r="AP481" i="1"/>
  <c r="BI481" i="1" s="1"/>
  <c r="AC481" i="1" s="1"/>
  <c r="AO481" i="1"/>
  <c r="AW481" i="1" s="1"/>
  <c r="AK481" i="1"/>
  <c r="AJ481" i="1"/>
  <c r="AH481" i="1"/>
  <c r="AG481" i="1"/>
  <c r="AF481" i="1"/>
  <c r="AE481" i="1"/>
  <c r="AD481" i="1"/>
  <c r="Z481" i="1"/>
  <c r="O481" i="1"/>
  <c r="BF481" i="1" s="1"/>
  <c r="L481" i="1"/>
  <c r="BW475" i="1"/>
  <c r="BJ475" i="1"/>
  <c r="BD475" i="1"/>
  <c r="AP475" i="1"/>
  <c r="K475" i="1" s="1"/>
  <c r="AO475" i="1"/>
  <c r="BH475" i="1" s="1"/>
  <c r="AB475" i="1" s="1"/>
  <c r="AK475" i="1"/>
  <c r="AJ475" i="1"/>
  <c r="AH475" i="1"/>
  <c r="AG475" i="1"/>
  <c r="AF475" i="1"/>
  <c r="AE475" i="1"/>
  <c r="AD475" i="1"/>
  <c r="Z475" i="1"/>
  <c r="O475" i="1"/>
  <c r="BF475" i="1" s="1"/>
  <c r="L475" i="1"/>
  <c r="BW469" i="1"/>
  <c r="BJ469" i="1"/>
  <c r="BD469" i="1"/>
  <c r="AP469" i="1"/>
  <c r="AO469" i="1"/>
  <c r="AW469" i="1" s="1"/>
  <c r="AK469" i="1"/>
  <c r="AJ469" i="1"/>
  <c r="AH469" i="1"/>
  <c r="AG469" i="1"/>
  <c r="AF469" i="1"/>
  <c r="AE469" i="1"/>
  <c r="AD469" i="1"/>
  <c r="Z469" i="1"/>
  <c r="O469" i="1"/>
  <c r="BF469" i="1" s="1"/>
  <c r="L469" i="1"/>
  <c r="BW467" i="1"/>
  <c r="BJ467" i="1"/>
  <c r="BD467" i="1"/>
  <c r="AP467" i="1"/>
  <c r="AO467" i="1"/>
  <c r="AW467" i="1" s="1"/>
  <c r="AK467" i="1"/>
  <c r="AJ467" i="1"/>
  <c r="AH467" i="1"/>
  <c r="AG467" i="1"/>
  <c r="AF467" i="1"/>
  <c r="AE467" i="1"/>
  <c r="AD467" i="1"/>
  <c r="Z467" i="1"/>
  <c r="O467" i="1"/>
  <c r="BF467" i="1" s="1"/>
  <c r="L467" i="1"/>
  <c r="BW460" i="1"/>
  <c r="BJ460" i="1"/>
  <c r="BD460" i="1"/>
  <c r="AP460" i="1"/>
  <c r="BI460" i="1" s="1"/>
  <c r="AC460" i="1" s="1"/>
  <c r="AO460" i="1"/>
  <c r="AK460" i="1"/>
  <c r="AJ460" i="1"/>
  <c r="AH460" i="1"/>
  <c r="AG460" i="1"/>
  <c r="AF460" i="1"/>
  <c r="AE460" i="1"/>
  <c r="AD460" i="1"/>
  <c r="Z460" i="1"/>
  <c r="O460" i="1"/>
  <c r="BF460" i="1" s="1"/>
  <c r="L460" i="1"/>
  <c r="AL460" i="1" s="1"/>
  <c r="BW452" i="1"/>
  <c r="BJ452" i="1"/>
  <c r="BD452" i="1"/>
  <c r="AP452" i="1"/>
  <c r="BI452" i="1" s="1"/>
  <c r="AC452" i="1" s="1"/>
  <c r="AO452" i="1"/>
  <c r="BH452" i="1" s="1"/>
  <c r="AB452" i="1" s="1"/>
  <c r="AK452" i="1"/>
  <c r="AJ452" i="1"/>
  <c r="AH452" i="1"/>
  <c r="AG452" i="1"/>
  <c r="AF452" i="1"/>
  <c r="AE452" i="1"/>
  <c r="AD452" i="1"/>
  <c r="Z452" i="1"/>
  <c r="O452" i="1"/>
  <c r="BF452" i="1" s="1"/>
  <c r="L452" i="1"/>
  <c r="BW450" i="1"/>
  <c r="BJ450" i="1"/>
  <c r="BD450" i="1"/>
  <c r="AP450" i="1"/>
  <c r="AO450" i="1"/>
  <c r="AW450" i="1" s="1"/>
  <c r="AK450" i="1"/>
  <c r="AJ450" i="1"/>
  <c r="AH450" i="1"/>
  <c r="AG450" i="1"/>
  <c r="AF450" i="1"/>
  <c r="AE450" i="1"/>
  <c r="AD450" i="1"/>
  <c r="Z450" i="1"/>
  <c r="O450" i="1"/>
  <c r="BF450" i="1" s="1"/>
  <c r="L450" i="1"/>
  <c r="AL450" i="1" s="1"/>
  <c r="BW447" i="1"/>
  <c r="BJ447" i="1"/>
  <c r="BD447" i="1"/>
  <c r="AP447" i="1"/>
  <c r="K447" i="1" s="1"/>
  <c r="AO447" i="1"/>
  <c r="AK447" i="1"/>
  <c r="AJ447" i="1"/>
  <c r="AH447" i="1"/>
  <c r="AG447" i="1"/>
  <c r="AF447" i="1"/>
  <c r="AE447" i="1"/>
  <c r="AD447" i="1"/>
  <c r="Z447" i="1"/>
  <c r="O447" i="1"/>
  <c r="BF447" i="1" s="1"/>
  <c r="L447" i="1"/>
  <c r="BW443" i="1"/>
  <c r="BJ443" i="1"/>
  <c r="BD443" i="1"/>
  <c r="AP443" i="1"/>
  <c r="BI443" i="1" s="1"/>
  <c r="AC443" i="1" s="1"/>
  <c r="AO443" i="1"/>
  <c r="BH443" i="1" s="1"/>
  <c r="AB443" i="1" s="1"/>
  <c r="AK443" i="1"/>
  <c r="AJ443" i="1"/>
  <c r="AH443" i="1"/>
  <c r="AG443" i="1"/>
  <c r="AF443" i="1"/>
  <c r="AE443" i="1"/>
  <c r="AD443" i="1"/>
  <c r="Z443" i="1"/>
  <c r="O443" i="1"/>
  <c r="BF443" i="1" s="1"/>
  <c r="L443" i="1"/>
  <c r="AL443" i="1" s="1"/>
  <c r="BW440" i="1"/>
  <c r="BJ440" i="1"/>
  <c r="BD440" i="1"/>
  <c r="AP440" i="1"/>
  <c r="AO440" i="1"/>
  <c r="J440" i="1" s="1"/>
  <c r="AK440" i="1"/>
  <c r="AJ440" i="1"/>
  <c r="AH440" i="1"/>
  <c r="AG440" i="1"/>
  <c r="AF440" i="1"/>
  <c r="AE440" i="1"/>
  <c r="AD440" i="1"/>
  <c r="Z440" i="1"/>
  <c r="O440" i="1"/>
  <c r="BF440" i="1" s="1"/>
  <c r="L440" i="1"/>
  <c r="AL440" i="1" s="1"/>
  <c r="BW429" i="1"/>
  <c r="BJ429" i="1"/>
  <c r="BD429" i="1"/>
  <c r="AP429" i="1"/>
  <c r="K429" i="1" s="1"/>
  <c r="AO429" i="1"/>
  <c r="BH429" i="1" s="1"/>
  <c r="AB429" i="1" s="1"/>
  <c r="AK429" i="1"/>
  <c r="AJ429" i="1"/>
  <c r="AH429" i="1"/>
  <c r="AG429" i="1"/>
  <c r="AF429" i="1"/>
  <c r="AE429" i="1"/>
  <c r="AD429" i="1"/>
  <c r="Z429" i="1"/>
  <c r="O429" i="1"/>
  <c r="BF429" i="1" s="1"/>
  <c r="L429" i="1"/>
  <c r="AL429" i="1" s="1"/>
  <c r="BW420" i="1"/>
  <c r="BJ420" i="1"/>
  <c r="BD420" i="1"/>
  <c r="AP420" i="1"/>
  <c r="AX420" i="1" s="1"/>
  <c r="AO420" i="1"/>
  <c r="AW420" i="1" s="1"/>
  <c r="AK420" i="1"/>
  <c r="AJ420" i="1"/>
  <c r="AH420" i="1"/>
  <c r="AG420" i="1"/>
  <c r="AF420" i="1"/>
  <c r="AE420" i="1"/>
  <c r="AD420" i="1"/>
  <c r="Z420" i="1"/>
  <c r="O420" i="1"/>
  <c r="BF420" i="1" s="1"/>
  <c r="L420" i="1"/>
  <c r="AL420" i="1" s="1"/>
  <c r="BW413" i="1"/>
  <c r="BJ413" i="1"/>
  <c r="BD413" i="1"/>
  <c r="AP413" i="1"/>
  <c r="AX413" i="1" s="1"/>
  <c r="AO413" i="1"/>
  <c r="BH413" i="1" s="1"/>
  <c r="AB413" i="1" s="1"/>
  <c r="AK413" i="1"/>
  <c r="AJ413" i="1"/>
  <c r="AH413" i="1"/>
  <c r="AG413" i="1"/>
  <c r="AF413" i="1"/>
  <c r="AE413" i="1"/>
  <c r="AD413" i="1"/>
  <c r="Z413" i="1"/>
  <c r="O413" i="1"/>
  <c r="BF413" i="1" s="1"/>
  <c r="L413" i="1"/>
  <c r="AL413" i="1" s="1"/>
  <c r="BW406" i="1"/>
  <c r="BJ406" i="1"/>
  <c r="BD406" i="1"/>
  <c r="AP406" i="1"/>
  <c r="BI406" i="1" s="1"/>
  <c r="AC406" i="1" s="1"/>
  <c r="AO406" i="1"/>
  <c r="BH406" i="1" s="1"/>
  <c r="AB406" i="1" s="1"/>
  <c r="AK406" i="1"/>
  <c r="AJ406" i="1"/>
  <c r="AH406" i="1"/>
  <c r="AG406" i="1"/>
  <c r="AF406" i="1"/>
  <c r="AE406" i="1"/>
  <c r="AD406" i="1"/>
  <c r="Z406" i="1"/>
  <c r="O406" i="1"/>
  <c r="BF406" i="1" s="1"/>
  <c r="L406" i="1"/>
  <c r="AL406" i="1" s="1"/>
  <c r="BW404" i="1"/>
  <c r="BJ404" i="1"/>
  <c r="BD404" i="1"/>
  <c r="AP404" i="1"/>
  <c r="BI404" i="1" s="1"/>
  <c r="AC404" i="1" s="1"/>
  <c r="AO404" i="1"/>
  <c r="BH404" i="1" s="1"/>
  <c r="AB404" i="1" s="1"/>
  <c r="AK404" i="1"/>
  <c r="AJ404" i="1"/>
  <c r="AH404" i="1"/>
  <c r="AG404" i="1"/>
  <c r="AF404" i="1"/>
  <c r="AE404" i="1"/>
  <c r="AD404" i="1"/>
  <c r="Z404" i="1"/>
  <c r="O404" i="1"/>
  <c r="BF404" i="1" s="1"/>
  <c r="L404" i="1"/>
  <c r="AL404" i="1" s="1"/>
  <c r="BW384" i="1"/>
  <c r="BJ384" i="1"/>
  <c r="BD384" i="1"/>
  <c r="AP384" i="1"/>
  <c r="AX384" i="1" s="1"/>
  <c r="AO384" i="1"/>
  <c r="AW384" i="1" s="1"/>
  <c r="AK384" i="1"/>
  <c r="AJ384" i="1"/>
  <c r="AH384" i="1"/>
  <c r="AG384" i="1"/>
  <c r="AF384" i="1"/>
  <c r="AE384" i="1"/>
  <c r="AD384" i="1"/>
  <c r="Z384" i="1"/>
  <c r="O384" i="1"/>
  <c r="BF384" i="1" s="1"/>
  <c r="L384" i="1"/>
  <c r="AL384" i="1" s="1"/>
  <c r="BW364" i="1"/>
  <c r="BJ364" i="1"/>
  <c r="BD364" i="1"/>
  <c r="AP364" i="1"/>
  <c r="AX364" i="1" s="1"/>
  <c r="AO364" i="1"/>
  <c r="BH364" i="1" s="1"/>
  <c r="AB364" i="1" s="1"/>
  <c r="AK364" i="1"/>
  <c r="AJ364" i="1"/>
  <c r="AH364" i="1"/>
  <c r="AG364" i="1"/>
  <c r="AF364" i="1"/>
  <c r="AE364" i="1"/>
  <c r="AD364" i="1"/>
  <c r="Z364" i="1"/>
  <c r="O364" i="1"/>
  <c r="BF364" i="1" s="1"/>
  <c r="L364" i="1"/>
  <c r="AL364" i="1" s="1"/>
  <c r="BW362" i="1"/>
  <c r="BJ362" i="1"/>
  <c r="BD362" i="1"/>
  <c r="AP362" i="1"/>
  <c r="BI362" i="1" s="1"/>
  <c r="AC362" i="1" s="1"/>
  <c r="AO362" i="1"/>
  <c r="BH362" i="1" s="1"/>
  <c r="AB362" i="1" s="1"/>
  <c r="AK362" i="1"/>
  <c r="AJ362" i="1"/>
  <c r="AH362" i="1"/>
  <c r="AG362" i="1"/>
  <c r="AF362" i="1"/>
  <c r="AE362" i="1"/>
  <c r="AD362" i="1"/>
  <c r="Z362" i="1"/>
  <c r="O362" i="1"/>
  <c r="BF362" i="1" s="1"/>
  <c r="L362" i="1"/>
  <c r="AL362" i="1" s="1"/>
  <c r="BW357" i="1"/>
  <c r="BJ357" i="1"/>
  <c r="BD357" i="1"/>
  <c r="AP357" i="1"/>
  <c r="BI357" i="1" s="1"/>
  <c r="AC357" i="1" s="1"/>
  <c r="AO357" i="1"/>
  <c r="BH357" i="1" s="1"/>
  <c r="AB357" i="1" s="1"/>
  <c r="AK357" i="1"/>
  <c r="AJ357" i="1"/>
  <c r="AH357" i="1"/>
  <c r="AG357" i="1"/>
  <c r="AF357" i="1"/>
  <c r="AE357" i="1"/>
  <c r="AD357" i="1"/>
  <c r="Z357" i="1"/>
  <c r="O357" i="1"/>
  <c r="BF357" i="1" s="1"/>
  <c r="L357" i="1"/>
  <c r="AL357" i="1" s="1"/>
  <c r="BW353" i="1"/>
  <c r="BJ353" i="1"/>
  <c r="BD353" i="1"/>
  <c r="AP353" i="1"/>
  <c r="BI353" i="1" s="1"/>
  <c r="AC353" i="1" s="1"/>
  <c r="AO353" i="1"/>
  <c r="AW353" i="1" s="1"/>
  <c r="AK353" i="1"/>
  <c r="AJ353" i="1"/>
  <c r="AH353" i="1"/>
  <c r="AG353" i="1"/>
  <c r="AF353" i="1"/>
  <c r="AE353" i="1"/>
  <c r="AD353" i="1"/>
  <c r="Z353" i="1"/>
  <c r="O353" i="1"/>
  <c r="BF353" i="1" s="1"/>
  <c r="L353" i="1"/>
  <c r="AL353" i="1" s="1"/>
  <c r="BW349" i="1"/>
  <c r="BJ349" i="1"/>
  <c r="BD349" i="1"/>
  <c r="AP349" i="1"/>
  <c r="AX349" i="1" s="1"/>
  <c r="AO349" i="1"/>
  <c r="BH349" i="1" s="1"/>
  <c r="AB349" i="1" s="1"/>
  <c r="AK349" i="1"/>
  <c r="AJ349" i="1"/>
  <c r="AH349" i="1"/>
  <c r="AG349" i="1"/>
  <c r="AF349" i="1"/>
  <c r="AE349" i="1"/>
  <c r="AD349" i="1"/>
  <c r="Z349" i="1"/>
  <c r="O349" i="1"/>
  <c r="BF349" i="1" s="1"/>
  <c r="L349" i="1"/>
  <c r="AL349" i="1" s="1"/>
  <c r="BW343" i="1"/>
  <c r="BJ343" i="1"/>
  <c r="BD343" i="1"/>
  <c r="AP343" i="1"/>
  <c r="BI343" i="1" s="1"/>
  <c r="AC343" i="1" s="1"/>
  <c r="AO343" i="1"/>
  <c r="BH343" i="1" s="1"/>
  <c r="AB343" i="1" s="1"/>
  <c r="AK343" i="1"/>
  <c r="AJ343" i="1"/>
  <c r="AH343" i="1"/>
  <c r="AG343" i="1"/>
  <c r="AF343" i="1"/>
  <c r="AE343" i="1"/>
  <c r="AD343" i="1"/>
  <c r="Z343" i="1"/>
  <c r="O343" i="1"/>
  <c r="BF343" i="1" s="1"/>
  <c r="L343" i="1"/>
  <c r="AL343" i="1" s="1"/>
  <c r="BW337" i="1"/>
  <c r="BJ337" i="1"/>
  <c r="BD337" i="1"/>
  <c r="AP337" i="1"/>
  <c r="AX337" i="1" s="1"/>
  <c r="AO337" i="1"/>
  <c r="AW337" i="1" s="1"/>
  <c r="AK337" i="1"/>
  <c r="AJ337" i="1"/>
  <c r="AH337" i="1"/>
  <c r="AG337" i="1"/>
  <c r="AF337" i="1"/>
  <c r="AE337" i="1"/>
  <c r="AD337" i="1"/>
  <c r="Z337" i="1"/>
  <c r="O337" i="1"/>
  <c r="BF337" i="1" s="1"/>
  <c r="L337" i="1"/>
  <c r="AL337" i="1" s="1"/>
  <c r="BW336" i="1"/>
  <c r="BJ336" i="1"/>
  <c r="BD336" i="1"/>
  <c r="AP336" i="1"/>
  <c r="AX336" i="1" s="1"/>
  <c r="AO336" i="1"/>
  <c r="BH336" i="1" s="1"/>
  <c r="AB336" i="1" s="1"/>
  <c r="AK336" i="1"/>
  <c r="AJ336" i="1"/>
  <c r="AH336" i="1"/>
  <c r="AG336" i="1"/>
  <c r="AF336" i="1"/>
  <c r="AE336" i="1"/>
  <c r="AD336" i="1"/>
  <c r="Z336" i="1"/>
  <c r="O336" i="1"/>
  <c r="BF336" i="1" s="1"/>
  <c r="L336" i="1"/>
  <c r="AL336" i="1" s="1"/>
  <c r="BW309" i="1"/>
  <c r="BJ309" i="1"/>
  <c r="BD309" i="1"/>
  <c r="AP309" i="1"/>
  <c r="BI309" i="1" s="1"/>
  <c r="AC309" i="1" s="1"/>
  <c r="AO309" i="1"/>
  <c r="BH309" i="1" s="1"/>
  <c r="AB309" i="1" s="1"/>
  <c r="AK309" i="1"/>
  <c r="AJ309" i="1"/>
  <c r="AH309" i="1"/>
  <c r="AG309" i="1"/>
  <c r="AF309" i="1"/>
  <c r="AE309" i="1"/>
  <c r="AD309" i="1"/>
  <c r="Z309" i="1"/>
  <c r="O309" i="1"/>
  <c r="BF309" i="1" s="1"/>
  <c r="L309" i="1"/>
  <c r="AL309" i="1" s="1"/>
  <c r="BW298" i="1"/>
  <c r="BJ298" i="1"/>
  <c r="BD298" i="1"/>
  <c r="AP298" i="1"/>
  <c r="K298" i="1" s="1"/>
  <c r="AO298" i="1"/>
  <c r="AW298" i="1" s="1"/>
  <c r="AK298" i="1"/>
  <c r="AJ298" i="1"/>
  <c r="AH298" i="1"/>
  <c r="AG298" i="1"/>
  <c r="AF298" i="1"/>
  <c r="AE298" i="1"/>
  <c r="AD298" i="1"/>
  <c r="Z298" i="1"/>
  <c r="O298" i="1"/>
  <c r="BF298" i="1" s="1"/>
  <c r="L298" i="1"/>
  <c r="AL298" i="1" s="1"/>
  <c r="BW284" i="1"/>
  <c r="BJ284" i="1"/>
  <c r="BD284" i="1"/>
  <c r="AP284" i="1"/>
  <c r="AX284" i="1" s="1"/>
  <c r="AO284" i="1"/>
  <c r="BH284" i="1" s="1"/>
  <c r="AB284" i="1" s="1"/>
  <c r="AK284" i="1"/>
  <c r="AJ284" i="1"/>
  <c r="AH284" i="1"/>
  <c r="AG284" i="1"/>
  <c r="AF284" i="1"/>
  <c r="AE284" i="1"/>
  <c r="AD284" i="1"/>
  <c r="Z284" i="1"/>
  <c r="O284" i="1"/>
  <c r="BF284" i="1" s="1"/>
  <c r="L284" i="1"/>
  <c r="AL284" i="1" s="1"/>
  <c r="BW279" i="1"/>
  <c r="BJ279" i="1"/>
  <c r="BD279" i="1"/>
  <c r="AP279" i="1"/>
  <c r="BI279" i="1" s="1"/>
  <c r="AC279" i="1" s="1"/>
  <c r="AO279" i="1"/>
  <c r="BH279" i="1" s="1"/>
  <c r="AB279" i="1" s="1"/>
  <c r="AK279" i="1"/>
  <c r="AJ279" i="1"/>
  <c r="AH279" i="1"/>
  <c r="AG279" i="1"/>
  <c r="AF279" i="1"/>
  <c r="AE279" i="1"/>
  <c r="AD279" i="1"/>
  <c r="Z279" i="1"/>
  <c r="O279" i="1"/>
  <c r="BF279" i="1" s="1"/>
  <c r="L279" i="1"/>
  <c r="AL279" i="1" s="1"/>
  <c r="BW278" i="1"/>
  <c r="BJ278" i="1"/>
  <c r="BD278" i="1"/>
  <c r="AP278" i="1"/>
  <c r="K278" i="1" s="1"/>
  <c r="AO278" i="1"/>
  <c r="AK278" i="1"/>
  <c r="AJ278" i="1"/>
  <c r="AH278" i="1"/>
  <c r="AG278" i="1"/>
  <c r="AF278" i="1"/>
  <c r="AE278" i="1"/>
  <c r="AD278" i="1"/>
  <c r="Z278" i="1"/>
  <c r="O278" i="1"/>
  <c r="BF278" i="1" s="1"/>
  <c r="L278" i="1"/>
  <c r="AL278" i="1" s="1"/>
  <c r="BW277" i="1"/>
  <c r="BJ277" i="1"/>
  <c r="BD277" i="1"/>
  <c r="AP277" i="1"/>
  <c r="AX277" i="1" s="1"/>
  <c r="AO277" i="1"/>
  <c r="AW277" i="1" s="1"/>
  <c r="AK277" i="1"/>
  <c r="AJ277" i="1"/>
  <c r="AH277" i="1"/>
  <c r="AG277" i="1"/>
  <c r="AF277" i="1"/>
  <c r="AE277" i="1"/>
  <c r="AD277" i="1"/>
  <c r="Z277" i="1"/>
  <c r="O277" i="1"/>
  <c r="BF277" i="1" s="1"/>
  <c r="L277" i="1"/>
  <c r="AL277" i="1" s="1"/>
  <c r="BW276" i="1"/>
  <c r="BJ276" i="1"/>
  <c r="BD276" i="1"/>
  <c r="AP276" i="1"/>
  <c r="BI276" i="1" s="1"/>
  <c r="AC276" i="1" s="1"/>
  <c r="AO276" i="1"/>
  <c r="BH276" i="1" s="1"/>
  <c r="AB276" i="1" s="1"/>
  <c r="AK276" i="1"/>
  <c r="AJ276" i="1"/>
  <c r="AH276" i="1"/>
  <c r="AG276" i="1"/>
  <c r="AF276" i="1"/>
  <c r="AE276" i="1"/>
  <c r="AD276" i="1"/>
  <c r="Z276" i="1"/>
  <c r="O276" i="1"/>
  <c r="BF276" i="1" s="1"/>
  <c r="L276" i="1"/>
  <c r="AL276" i="1" s="1"/>
  <c r="BW274" i="1"/>
  <c r="BJ274" i="1"/>
  <c r="BD274" i="1"/>
  <c r="AP274" i="1"/>
  <c r="AX274" i="1" s="1"/>
  <c r="AO274" i="1"/>
  <c r="AK274" i="1"/>
  <c r="AJ274" i="1"/>
  <c r="AH274" i="1"/>
  <c r="AG274" i="1"/>
  <c r="AF274" i="1"/>
  <c r="AE274" i="1"/>
  <c r="AD274" i="1"/>
  <c r="Z274" i="1"/>
  <c r="O274" i="1"/>
  <c r="BF274" i="1" s="1"/>
  <c r="L274" i="1"/>
  <c r="AL274" i="1" s="1"/>
  <c r="BW273" i="1"/>
  <c r="BJ273" i="1"/>
  <c r="BD273" i="1"/>
  <c r="AP273" i="1"/>
  <c r="AX273" i="1" s="1"/>
  <c r="AO273" i="1"/>
  <c r="BH273" i="1" s="1"/>
  <c r="AB273" i="1" s="1"/>
  <c r="AK273" i="1"/>
  <c r="AJ273" i="1"/>
  <c r="AH273" i="1"/>
  <c r="AG273" i="1"/>
  <c r="AF273" i="1"/>
  <c r="AE273" i="1"/>
  <c r="AD273" i="1"/>
  <c r="Z273" i="1"/>
  <c r="O273" i="1"/>
  <c r="BF273" i="1" s="1"/>
  <c r="L273" i="1"/>
  <c r="AL273" i="1" s="1"/>
  <c r="BW272" i="1"/>
  <c r="BJ272" i="1"/>
  <c r="BD272" i="1"/>
  <c r="AP272" i="1"/>
  <c r="BI272" i="1" s="1"/>
  <c r="AC272" i="1" s="1"/>
  <c r="AO272" i="1"/>
  <c r="BH272" i="1" s="1"/>
  <c r="AB272" i="1" s="1"/>
  <c r="AK272" i="1"/>
  <c r="AJ272" i="1"/>
  <c r="AH272" i="1"/>
  <c r="AG272" i="1"/>
  <c r="AF272" i="1"/>
  <c r="AE272" i="1"/>
  <c r="AD272" i="1"/>
  <c r="Z272" i="1"/>
  <c r="O272" i="1"/>
  <c r="BF272" i="1" s="1"/>
  <c r="L272" i="1"/>
  <c r="AL272" i="1" s="1"/>
  <c r="BW270" i="1"/>
  <c r="BJ270" i="1"/>
  <c r="BD270" i="1"/>
  <c r="AP270" i="1"/>
  <c r="K270" i="1" s="1"/>
  <c r="AO270" i="1"/>
  <c r="AW270" i="1" s="1"/>
  <c r="AK270" i="1"/>
  <c r="AJ270" i="1"/>
  <c r="AH270" i="1"/>
  <c r="AG270" i="1"/>
  <c r="AF270" i="1"/>
  <c r="AE270" i="1"/>
  <c r="AD270" i="1"/>
  <c r="Z270" i="1"/>
  <c r="O270" i="1"/>
  <c r="BF270" i="1" s="1"/>
  <c r="L270" i="1"/>
  <c r="AL270" i="1" s="1"/>
  <c r="BW269" i="1"/>
  <c r="BJ269" i="1"/>
  <c r="BD269" i="1"/>
  <c r="AP269" i="1"/>
  <c r="AX269" i="1" s="1"/>
  <c r="AO269" i="1"/>
  <c r="BH269" i="1" s="1"/>
  <c r="AB269" i="1" s="1"/>
  <c r="AK269" i="1"/>
  <c r="AJ269" i="1"/>
  <c r="AH269" i="1"/>
  <c r="AG269" i="1"/>
  <c r="AF269" i="1"/>
  <c r="AE269" i="1"/>
  <c r="AD269" i="1"/>
  <c r="Z269" i="1"/>
  <c r="O269" i="1"/>
  <c r="BF269" i="1" s="1"/>
  <c r="L269" i="1"/>
  <c r="AL269" i="1" s="1"/>
  <c r="BW253" i="1"/>
  <c r="BJ253" i="1"/>
  <c r="BD253" i="1"/>
  <c r="AP253" i="1"/>
  <c r="BI253" i="1" s="1"/>
  <c r="AC253" i="1" s="1"/>
  <c r="AO253" i="1"/>
  <c r="BH253" i="1" s="1"/>
  <c r="AB253" i="1" s="1"/>
  <c r="AK253" i="1"/>
  <c r="AJ253" i="1"/>
  <c r="AH253" i="1"/>
  <c r="AG253" i="1"/>
  <c r="AF253" i="1"/>
  <c r="AE253" i="1"/>
  <c r="AD253" i="1"/>
  <c r="Z253" i="1"/>
  <c r="O253" i="1"/>
  <c r="BF253" i="1" s="1"/>
  <c r="L253" i="1"/>
  <c r="AL253" i="1" s="1"/>
  <c r="BW247" i="1"/>
  <c r="BJ247" i="1"/>
  <c r="BD247" i="1"/>
  <c r="AP247" i="1"/>
  <c r="K247" i="1" s="1"/>
  <c r="AO247" i="1"/>
  <c r="AW247" i="1" s="1"/>
  <c r="AK247" i="1"/>
  <c r="AJ247" i="1"/>
  <c r="AH247" i="1"/>
  <c r="AG247" i="1"/>
  <c r="AF247" i="1"/>
  <c r="AE247" i="1"/>
  <c r="AD247" i="1"/>
  <c r="Z247" i="1"/>
  <c r="O247" i="1"/>
  <c r="BF247" i="1" s="1"/>
  <c r="L247" i="1"/>
  <c r="AL247" i="1" s="1"/>
  <c r="BW236" i="1"/>
  <c r="BJ236" i="1"/>
  <c r="BD236" i="1"/>
  <c r="AP236" i="1"/>
  <c r="AX236" i="1" s="1"/>
  <c r="AO236" i="1"/>
  <c r="AW236" i="1" s="1"/>
  <c r="AK236" i="1"/>
  <c r="AJ236" i="1"/>
  <c r="AH236" i="1"/>
  <c r="AG236" i="1"/>
  <c r="AF236" i="1"/>
  <c r="AE236" i="1"/>
  <c r="AD236" i="1"/>
  <c r="Z236" i="1"/>
  <c r="O236" i="1"/>
  <c r="BF236" i="1" s="1"/>
  <c r="L236" i="1"/>
  <c r="AL236" i="1" s="1"/>
  <c r="BW229" i="1"/>
  <c r="BJ229" i="1"/>
  <c r="BD229" i="1"/>
  <c r="AP229" i="1"/>
  <c r="BI229" i="1" s="1"/>
  <c r="AC229" i="1" s="1"/>
  <c r="AO229" i="1"/>
  <c r="BH229" i="1" s="1"/>
  <c r="AB229" i="1" s="1"/>
  <c r="AK229" i="1"/>
  <c r="AJ229" i="1"/>
  <c r="AH229" i="1"/>
  <c r="AG229" i="1"/>
  <c r="AF229" i="1"/>
  <c r="AE229" i="1"/>
  <c r="AD229" i="1"/>
  <c r="Z229" i="1"/>
  <c r="O229" i="1"/>
  <c r="BF229" i="1" s="1"/>
  <c r="L229" i="1"/>
  <c r="AL229" i="1" s="1"/>
  <c r="BW223" i="1"/>
  <c r="BJ223" i="1"/>
  <c r="BD223" i="1"/>
  <c r="AP223" i="1"/>
  <c r="BI223" i="1" s="1"/>
  <c r="AC223" i="1" s="1"/>
  <c r="AO223" i="1"/>
  <c r="AW223" i="1" s="1"/>
  <c r="AK223" i="1"/>
  <c r="AJ223" i="1"/>
  <c r="AH223" i="1"/>
  <c r="AG223" i="1"/>
  <c r="AF223" i="1"/>
  <c r="AE223" i="1"/>
  <c r="AD223" i="1"/>
  <c r="Z223" i="1"/>
  <c r="O223" i="1"/>
  <c r="BF223" i="1" s="1"/>
  <c r="L223" i="1"/>
  <c r="AL223" i="1" s="1"/>
  <c r="BW217" i="1"/>
  <c r="BJ217" i="1"/>
  <c r="BD217" i="1"/>
  <c r="AP217" i="1"/>
  <c r="AX217" i="1" s="1"/>
  <c r="AO217" i="1"/>
  <c r="AW217" i="1" s="1"/>
  <c r="AK217" i="1"/>
  <c r="AJ217" i="1"/>
  <c r="AH217" i="1"/>
  <c r="AG217" i="1"/>
  <c r="AF217" i="1"/>
  <c r="AE217" i="1"/>
  <c r="AD217" i="1"/>
  <c r="Z217" i="1"/>
  <c r="O217" i="1"/>
  <c r="BF217" i="1" s="1"/>
  <c r="L217" i="1"/>
  <c r="AL217" i="1" s="1"/>
  <c r="BW214" i="1"/>
  <c r="BJ214" i="1"/>
  <c r="BD214" i="1"/>
  <c r="AP214" i="1"/>
  <c r="BI214" i="1" s="1"/>
  <c r="AC214" i="1" s="1"/>
  <c r="AO214" i="1"/>
  <c r="BH214" i="1" s="1"/>
  <c r="AB214" i="1" s="1"/>
  <c r="AK214" i="1"/>
  <c r="AJ214" i="1"/>
  <c r="AH214" i="1"/>
  <c r="AG214" i="1"/>
  <c r="AF214" i="1"/>
  <c r="AE214" i="1"/>
  <c r="AD214" i="1"/>
  <c r="Z214" i="1"/>
  <c r="O214" i="1"/>
  <c r="BF214" i="1" s="1"/>
  <c r="L214" i="1"/>
  <c r="AL214" i="1" s="1"/>
  <c r="BW213" i="1"/>
  <c r="BJ213" i="1"/>
  <c r="BD213" i="1"/>
  <c r="AP213" i="1"/>
  <c r="K213" i="1" s="1"/>
  <c r="AO213" i="1"/>
  <c r="AW213" i="1" s="1"/>
  <c r="AK213" i="1"/>
  <c r="AJ213" i="1"/>
  <c r="AH213" i="1"/>
  <c r="AG213" i="1"/>
  <c r="AF213" i="1"/>
  <c r="AE213" i="1"/>
  <c r="AD213" i="1"/>
  <c r="Z213" i="1"/>
  <c r="O213" i="1"/>
  <c r="BF213" i="1" s="1"/>
  <c r="L213" i="1"/>
  <c r="AL213" i="1" s="1"/>
  <c r="BW212" i="1"/>
  <c r="BJ212" i="1"/>
  <c r="BD212" i="1"/>
  <c r="AP212" i="1"/>
  <c r="AX212" i="1" s="1"/>
  <c r="AO212" i="1"/>
  <c r="BH212" i="1" s="1"/>
  <c r="AB212" i="1" s="1"/>
  <c r="AK212" i="1"/>
  <c r="AJ212" i="1"/>
  <c r="AH212" i="1"/>
  <c r="AG212" i="1"/>
  <c r="AF212" i="1"/>
  <c r="AE212" i="1"/>
  <c r="AD212" i="1"/>
  <c r="Z212" i="1"/>
  <c r="O212" i="1"/>
  <c r="BF212" i="1" s="1"/>
  <c r="L212" i="1"/>
  <c r="AL212" i="1" s="1"/>
  <c r="BW210" i="1"/>
  <c r="BJ210" i="1"/>
  <c r="BD210" i="1"/>
  <c r="AP210" i="1"/>
  <c r="BI210" i="1" s="1"/>
  <c r="AC210" i="1" s="1"/>
  <c r="AO210" i="1"/>
  <c r="BH210" i="1" s="1"/>
  <c r="AB210" i="1" s="1"/>
  <c r="AK210" i="1"/>
  <c r="AJ210" i="1"/>
  <c r="AH210" i="1"/>
  <c r="AG210" i="1"/>
  <c r="AF210" i="1"/>
  <c r="AE210" i="1"/>
  <c r="AD210" i="1"/>
  <c r="Z210" i="1"/>
  <c r="O210" i="1"/>
  <c r="BF210" i="1" s="1"/>
  <c r="L210" i="1"/>
  <c r="AL210" i="1" s="1"/>
  <c r="BW206" i="1"/>
  <c r="BJ206" i="1"/>
  <c r="BD206" i="1"/>
  <c r="AP206" i="1"/>
  <c r="BI206" i="1" s="1"/>
  <c r="AC206" i="1" s="1"/>
  <c r="AO206" i="1"/>
  <c r="BH206" i="1" s="1"/>
  <c r="AB206" i="1" s="1"/>
  <c r="AK206" i="1"/>
  <c r="AJ206" i="1"/>
  <c r="AH206" i="1"/>
  <c r="AG206" i="1"/>
  <c r="AF206" i="1"/>
  <c r="AE206" i="1"/>
  <c r="AD206" i="1"/>
  <c r="Z206" i="1"/>
  <c r="O206" i="1"/>
  <c r="BF206" i="1" s="1"/>
  <c r="L206" i="1"/>
  <c r="AL206" i="1" s="1"/>
  <c r="BW205" i="1"/>
  <c r="BJ205" i="1"/>
  <c r="BD205" i="1"/>
  <c r="AP205" i="1"/>
  <c r="AO205" i="1"/>
  <c r="AW205" i="1" s="1"/>
  <c r="AK205" i="1"/>
  <c r="AJ205" i="1"/>
  <c r="AH205" i="1"/>
  <c r="AG205" i="1"/>
  <c r="AF205" i="1"/>
  <c r="AE205" i="1"/>
  <c r="AD205" i="1"/>
  <c r="Z205" i="1"/>
  <c r="O205" i="1"/>
  <c r="BF205" i="1" s="1"/>
  <c r="L205" i="1"/>
  <c r="AL205" i="1" s="1"/>
  <c r="BW202" i="1"/>
  <c r="BJ202" i="1"/>
  <c r="BD202" i="1"/>
  <c r="AP202" i="1"/>
  <c r="AX202" i="1" s="1"/>
  <c r="AO202" i="1"/>
  <c r="J202" i="1" s="1"/>
  <c r="AK202" i="1"/>
  <c r="AJ202" i="1"/>
  <c r="AH202" i="1"/>
  <c r="AG202" i="1"/>
  <c r="AF202" i="1"/>
  <c r="AE202" i="1"/>
  <c r="AD202" i="1"/>
  <c r="Z202" i="1"/>
  <c r="O202" i="1"/>
  <c r="BF202" i="1" s="1"/>
  <c r="L202" i="1"/>
  <c r="AL202" i="1" s="1"/>
  <c r="BW199" i="1"/>
  <c r="BJ199" i="1"/>
  <c r="BD199" i="1"/>
  <c r="AP199" i="1"/>
  <c r="BI199" i="1" s="1"/>
  <c r="AC199" i="1" s="1"/>
  <c r="AO199" i="1"/>
  <c r="BH199" i="1" s="1"/>
  <c r="AB199" i="1" s="1"/>
  <c r="AK199" i="1"/>
  <c r="AJ199" i="1"/>
  <c r="AH199" i="1"/>
  <c r="AG199" i="1"/>
  <c r="AF199" i="1"/>
  <c r="AE199" i="1"/>
  <c r="AD199" i="1"/>
  <c r="Z199" i="1"/>
  <c r="O199" i="1"/>
  <c r="BF199" i="1" s="1"/>
  <c r="L199" i="1"/>
  <c r="AL199" i="1" s="1"/>
  <c r="BW192" i="1"/>
  <c r="BJ192" i="1"/>
  <c r="BD192" i="1"/>
  <c r="AP192" i="1"/>
  <c r="K192" i="1" s="1"/>
  <c r="AO192" i="1"/>
  <c r="AW192" i="1" s="1"/>
  <c r="AK192" i="1"/>
  <c r="AJ192" i="1"/>
  <c r="AH192" i="1"/>
  <c r="AG192" i="1"/>
  <c r="AF192" i="1"/>
  <c r="AE192" i="1"/>
  <c r="AD192" i="1"/>
  <c r="Z192" i="1"/>
  <c r="O192" i="1"/>
  <c r="BF192" i="1" s="1"/>
  <c r="L192" i="1"/>
  <c r="AL192" i="1" s="1"/>
  <c r="BW180" i="1"/>
  <c r="BJ180" i="1"/>
  <c r="BD180" i="1"/>
  <c r="AP180" i="1"/>
  <c r="AX180" i="1" s="1"/>
  <c r="AO180" i="1"/>
  <c r="BH180" i="1" s="1"/>
  <c r="AB180" i="1" s="1"/>
  <c r="AK180" i="1"/>
  <c r="AJ180" i="1"/>
  <c r="AH180" i="1"/>
  <c r="AG180" i="1"/>
  <c r="AF180" i="1"/>
  <c r="AE180" i="1"/>
  <c r="AD180" i="1"/>
  <c r="Z180" i="1"/>
  <c r="O180" i="1"/>
  <c r="BF180" i="1" s="1"/>
  <c r="L180" i="1"/>
  <c r="AL180" i="1" s="1"/>
  <c r="BW176" i="1"/>
  <c r="BJ176" i="1"/>
  <c r="BD176" i="1"/>
  <c r="AP176" i="1"/>
  <c r="BI176" i="1" s="1"/>
  <c r="AC176" i="1" s="1"/>
  <c r="AO176" i="1"/>
  <c r="BH176" i="1" s="1"/>
  <c r="AB176" i="1" s="1"/>
  <c r="AK176" i="1"/>
  <c r="AJ176" i="1"/>
  <c r="AH176" i="1"/>
  <c r="AG176" i="1"/>
  <c r="AF176" i="1"/>
  <c r="AE176" i="1"/>
  <c r="AD176" i="1"/>
  <c r="Z176" i="1"/>
  <c r="O176" i="1"/>
  <c r="BF176" i="1" s="1"/>
  <c r="L176" i="1"/>
  <c r="AL176" i="1" s="1"/>
  <c r="BW172" i="1"/>
  <c r="BJ172" i="1"/>
  <c r="BD172" i="1"/>
  <c r="AP172" i="1"/>
  <c r="AX172" i="1" s="1"/>
  <c r="AO172" i="1"/>
  <c r="AW172" i="1" s="1"/>
  <c r="AK172" i="1"/>
  <c r="AJ172" i="1"/>
  <c r="AH172" i="1"/>
  <c r="AG172" i="1"/>
  <c r="AF172" i="1"/>
  <c r="AE172" i="1"/>
  <c r="AD172" i="1"/>
  <c r="Z172" i="1"/>
  <c r="O172" i="1"/>
  <c r="BF172" i="1" s="1"/>
  <c r="L172" i="1"/>
  <c r="AL172" i="1" s="1"/>
  <c r="BW151" i="1"/>
  <c r="BJ151" i="1"/>
  <c r="BD151" i="1"/>
  <c r="AP151" i="1"/>
  <c r="AX151" i="1" s="1"/>
  <c r="AO151" i="1"/>
  <c r="BH151" i="1" s="1"/>
  <c r="AB151" i="1" s="1"/>
  <c r="AK151" i="1"/>
  <c r="AJ151" i="1"/>
  <c r="AH151" i="1"/>
  <c r="AG151" i="1"/>
  <c r="AF151" i="1"/>
  <c r="AE151" i="1"/>
  <c r="AD151" i="1"/>
  <c r="Z151" i="1"/>
  <c r="O151" i="1"/>
  <c r="BF151" i="1" s="1"/>
  <c r="L151" i="1"/>
  <c r="AL151" i="1" s="1"/>
  <c r="BW136" i="1"/>
  <c r="BJ136" i="1"/>
  <c r="BD136" i="1"/>
  <c r="AP136" i="1"/>
  <c r="BI136" i="1" s="1"/>
  <c r="AC136" i="1" s="1"/>
  <c r="AO136" i="1"/>
  <c r="BH136" i="1" s="1"/>
  <c r="AB136" i="1" s="1"/>
  <c r="AK136" i="1"/>
  <c r="AJ136" i="1"/>
  <c r="AH136" i="1"/>
  <c r="AG136" i="1"/>
  <c r="AF136" i="1"/>
  <c r="AE136" i="1"/>
  <c r="AD136" i="1"/>
  <c r="Z136" i="1"/>
  <c r="O136" i="1"/>
  <c r="L136" i="1"/>
  <c r="AL136" i="1" s="1"/>
  <c r="BW130" i="1"/>
  <c r="BJ130" i="1"/>
  <c r="BD130" i="1"/>
  <c r="AP130" i="1"/>
  <c r="K130" i="1" s="1"/>
  <c r="AO130" i="1"/>
  <c r="AW130" i="1" s="1"/>
  <c r="AK130" i="1"/>
  <c r="AJ130" i="1"/>
  <c r="AH130" i="1"/>
  <c r="AG130" i="1"/>
  <c r="AF130" i="1"/>
  <c r="AE130" i="1"/>
  <c r="AD130" i="1"/>
  <c r="Z130" i="1"/>
  <c r="O130" i="1"/>
  <c r="BF130" i="1" s="1"/>
  <c r="L130" i="1"/>
  <c r="AL130" i="1" s="1"/>
  <c r="BW128" i="1"/>
  <c r="BJ128" i="1"/>
  <c r="BD128" i="1"/>
  <c r="AP128" i="1"/>
  <c r="AX128" i="1" s="1"/>
  <c r="AO128" i="1"/>
  <c r="BH128" i="1" s="1"/>
  <c r="AB128" i="1" s="1"/>
  <c r="AK128" i="1"/>
  <c r="AJ128" i="1"/>
  <c r="AH128" i="1"/>
  <c r="AG128" i="1"/>
  <c r="AF128" i="1"/>
  <c r="AE128" i="1"/>
  <c r="AD128" i="1"/>
  <c r="Z128" i="1"/>
  <c r="O128" i="1"/>
  <c r="BF128" i="1" s="1"/>
  <c r="L128" i="1"/>
  <c r="AL128" i="1" s="1"/>
  <c r="BW123" i="1"/>
  <c r="BJ123" i="1"/>
  <c r="BD123" i="1"/>
  <c r="AP123" i="1"/>
  <c r="AX123" i="1" s="1"/>
  <c r="AO123" i="1"/>
  <c r="J123" i="1" s="1"/>
  <c r="AK123" i="1"/>
  <c r="AJ123" i="1"/>
  <c r="AH123" i="1"/>
  <c r="AG123" i="1"/>
  <c r="AF123" i="1"/>
  <c r="AE123" i="1"/>
  <c r="AD123" i="1"/>
  <c r="Z123" i="1"/>
  <c r="O123" i="1"/>
  <c r="BF123" i="1" s="1"/>
  <c r="L123" i="1"/>
  <c r="AL123" i="1" s="1"/>
  <c r="BW121" i="1"/>
  <c r="BJ121" i="1"/>
  <c r="BD121" i="1"/>
  <c r="AP121" i="1"/>
  <c r="BI121" i="1" s="1"/>
  <c r="AC121" i="1" s="1"/>
  <c r="AO121" i="1"/>
  <c r="BH121" i="1" s="1"/>
  <c r="AB121" i="1" s="1"/>
  <c r="AK121" i="1"/>
  <c r="AJ121" i="1"/>
  <c r="AH121" i="1"/>
  <c r="AG121" i="1"/>
  <c r="AF121" i="1"/>
  <c r="AE121" i="1"/>
  <c r="AD121" i="1"/>
  <c r="Z121" i="1"/>
  <c r="O121" i="1"/>
  <c r="BF121" i="1" s="1"/>
  <c r="L121" i="1"/>
  <c r="AL121" i="1" s="1"/>
  <c r="BW119" i="1"/>
  <c r="BJ119" i="1"/>
  <c r="BD119" i="1"/>
  <c r="AP119" i="1"/>
  <c r="BI119" i="1" s="1"/>
  <c r="AC119" i="1" s="1"/>
  <c r="AO119" i="1"/>
  <c r="BH119" i="1" s="1"/>
  <c r="AB119" i="1" s="1"/>
  <c r="AK119" i="1"/>
  <c r="AJ119" i="1"/>
  <c r="AH119" i="1"/>
  <c r="AG119" i="1"/>
  <c r="AF119" i="1"/>
  <c r="AE119" i="1"/>
  <c r="AD119" i="1"/>
  <c r="Z119" i="1"/>
  <c r="O119" i="1"/>
  <c r="BF119" i="1" s="1"/>
  <c r="L119" i="1"/>
  <c r="AL119" i="1" s="1"/>
  <c r="BW112" i="1"/>
  <c r="BJ112" i="1"/>
  <c r="BD112" i="1"/>
  <c r="AP112" i="1"/>
  <c r="BI112" i="1" s="1"/>
  <c r="AC112" i="1" s="1"/>
  <c r="AO112" i="1"/>
  <c r="AW112" i="1" s="1"/>
  <c r="AK112" i="1"/>
  <c r="AJ112" i="1"/>
  <c r="AH112" i="1"/>
  <c r="AG112" i="1"/>
  <c r="AF112" i="1"/>
  <c r="AE112" i="1"/>
  <c r="AD112" i="1"/>
  <c r="Z112" i="1"/>
  <c r="O112" i="1"/>
  <c r="BF112" i="1" s="1"/>
  <c r="L112" i="1"/>
  <c r="BW91" i="1"/>
  <c r="BJ91" i="1"/>
  <c r="BD91" i="1"/>
  <c r="AP91" i="1"/>
  <c r="K91" i="1" s="1"/>
  <c r="K90" i="1" s="1"/>
  <c r="E15" i="2" s="1"/>
  <c r="AO91" i="1"/>
  <c r="AW91" i="1" s="1"/>
  <c r="AK91" i="1"/>
  <c r="AT90" i="1" s="1"/>
  <c r="AJ91" i="1"/>
  <c r="AS90" i="1" s="1"/>
  <c r="AH91" i="1"/>
  <c r="AG91" i="1"/>
  <c r="AF91" i="1"/>
  <c r="AE91" i="1"/>
  <c r="AD91" i="1"/>
  <c r="Z91" i="1"/>
  <c r="O91" i="1"/>
  <c r="L91" i="1"/>
  <c r="L90" i="1" s="1"/>
  <c r="F15" i="2" s="1"/>
  <c r="I15" i="2" s="1"/>
  <c r="BW86" i="1"/>
  <c r="BJ86" i="1"/>
  <c r="BD86" i="1"/>
  <c r="AP86" i="1"/>
  <c r="AO86" i="1"/>
  <c r="AW86" i="1" s="1"/>
  <c r="AK86" i="1"/>
  <c r="AJ86" i="1"/>
  <c r="AH86" i="1"/>
  <c r="AG86" i="1"/>
  <c r="AF86" i="1"/>
  <c r="AE86" i="1"/>
  <c r="AD86" i="1"/>
  <c r="Z86" i="1"/>
  <c r="O86" i="1"/>
  <c r="BF86" i="1" s="1"/>
  <c r="L86" i="1"/>
  <c r="AL86" i="1" s="1"/>
  <c r="BW85" i="1"/>
  <c r="BJ85" i="1"/>
  <c r="BD85" i="1"/>
  <c r="AP85" i="1"/>
  <c r="AX85" i="1" s="1"/>
  <c r="AO85" i="1"/>
  <c r="BH85" i="1" s="1"/>
  <c r="AB85" i="1" s="1"/>
  <c r="AK85" i="1"/>
  <c r="AJ85" i="1"/>
  <c r="AH85" i="1"/>
  <c r="AG85" i="1"/>
  <c r="AF85" i="1"/>
  <c r="AE85" i="1"/>
  <c r="AD85" i="1"/>
  <c r="Z85" i="1"/>
  <c r="O85" i="1"/>
  <c r="BF85" i="1" s="1"/>
  <c r="L85" i="1"/>
  <c r="AL85" i="1" s="1"/>
  <c r="BW83" i="1"/>
  <c r="BJ83" i="1"/>
  <c r="BD83" i="1"/>
  <c r="AP83" i="1"/>
  <c r="BI83" i="1" s="1"/>
  <c r="AC83" i="1" s="1"/>
  <c r="AO83" i="1"/>
  <c r="BH83" i="1" s="1"/>
  <c r="AB83" i="1" s="1"/>
  <c r="AK83" i="1"/>
  <c r="AJ83" i="1"/>
  <c r="AH83" i="1"/>
  <c r="AG83" i="1"/>
  <c r="AF83" i="1"/>
  <c r="AE83" i="1"/>
  <c r="AD83" i="1"/>
  <c r="Z83" i="1"/>
  <c r="O83" i="1"/>
  <c r="L83" i="1"/>
  <c r="AL83" i="1" s="1"/>
  <c r="BW81" i="1"/>
  <c r="BJ81" i="1"/>
  <c r="BD81" i="1"/>
  <c r="AP81" i="1"/>
  <c r="AX81" i="1" s="1"/>
  <c r="AO81" i="1"/>
  <c r="AW81" i="1" s="1"/>
  <c r="AK81" i="1"/>
  <c r="AJ81" i="1"/>
  <c r="AH81" i="1"/>
  <c r="AG81" i="1"/>
  <c r="AF81" i="1"/>
  <c r="AE81" i="1"/>
  <c r="AD81" i="1"/>
  <c r="Z81" i="1"/>
  <c r="O81" i="1"/>
  <c r="BF81" i="1" s="1"/>
  <c r="L81" i="1"/>
  <c r="AL81" i="1" s="1"/>
  <c r="BW76" i="1"/>
  <c r="BJ76" i="1"/>
  <c r="BD76" i="1"/>
  <c r="AP76" i="1"/>
  <c r="AX76" i="1" s="1"/>
  <c r="AO76" i="1"/>
  <c r="BH76" i="1" s="1"/>
  <c r="AB76" i="1" s="1"/>
  <c r="AK76" i="1"/>
  <c r="AJ76" i="1"/>
  <c r="AH76" i="1"/>
  <c r="AG76" i="1"/>
  <c r="AF76" i="1"/>
  <c r="AE76" i="1"/>
  <c r="AD76" i="1"/>
  <c r="Z76" i="1"/>
  <c r="O76" i="1"/>
  <c r="BF76" i="1" s="1"/>
  <c r="L76" i="1"/>
  <c r="AL76" i="1" s="1"/>
  <c r="BW73" i="1"/>
  <c r="BJ73" i="1"/>
  <c r="BD73" i="1"/>
  <c r="AP73" i="1"/>
  <c r="AX73" i="1" s="1"/>
  <c r="AO73" i="1"/>
  <c r="BH73" i="1" s="1"/>
  <c r="AB73" i="1" s="1"/>
  <c r="AK73" i="1"/>
  <c r="AJ73" i="1"/>
  <c r="AH73" i="1"/>
  <c r="AG73" i="1"/>
  <c r="AF73" i="1"/>
  <c r="AE73" i="1"/>
  <c r="AD73" i="1"/>
  <c r="Z73" i="1"/>
  <c r="O73" i="1"/>
  <c r="BF73" i="1" s="1"/>
  <c r="L73" i="1"/>
  <c r="AL73" i="1" s="1"/>
  <c r="BW67" i="1"/>
  <c r="BJ67" i="1"/>
  <c r="BD67" i="1"/>
  <c r="AP67" i="1"/>
  <c r="BI67" i="1" s="1"/>
  <c r="AC67" i="1" s="1"/>
  <c r="AO67" i="1"/>
  <c r="BH67" i="1" s="1"/>
  <c r="AB67" i="1" s="1"/>
  <c r="AK67" i="1"/>
  <c r="AJ67" i="1"/>
  <c r="AH67" i="1"/>
  <c r="AG67" i="1"/>
  <c r="AF67" i="1"/>
  <c r="AE67" i="1"/>
  <c r="AD67" i="1"/>
  <c r="Z67" i="1"/>
  <c r="O67" i="1"/>
  <c r="L67" i="1"/>
  <c r="AL67" i="1" s="1"/>
  <c r="BW65" i="1"/>
  <c r="BJ65" i="1"/>
  <c r="BD65" i="1"/>
  <c r="AP65" i="1"/>
  <c r="BI65" i="1" s="1"/>
  <c r="AC65" i="1" s="1"/>
  <c r="AO65" i="1"/>
  <c r="AW65" i="1" s="1"/>
  <c r="AK65" i="1"/>
  <c r="AJ65" i="1"/>
  <c r="AH65" i="1"/>
  <c r="AG65" i="1"/>
  <c r="AF65" i="1"/>
  <c r="AE65" i="1"/>
  <c r="AD65" i="1"/>
  <c r="Z65" i="1"/>
  <c r="O65" i="1"/>
  <c r="BF65" i="1" s="1"/>
  <c r="L65" i="1"/>
  <c r="AL65" i="1" s="1"/>
  <c r="BW15" i="1"/>
  <c r="BJ15" i="1"/>
  <c r="BD15" i="1"/>
  <c r="AP15" i="1"/>
  <c r="AX15" i="1" s="1"/>
  <c r="AO15" i="1"/>
  <c r="AW15" i="1" s="1"/>
  <c r="AK15" i="1"/>
  <c r="AJ15" i="1"/>
  <c r="AH15" i="1"/>
  <c r="AG15" i="1"/>
  <c r="AF15" i="1"/>
  <c r="AE15" i="1"/>
  <c r="AD15" i="1"/>
  <c r="Z15" i="1"/>
  <c r="O15" i="1"/>
  <c r="BF15" i="1" s="1"/>
  <c r="L15" i="1"/>
  <c r="AL15" i="1" s="1"/>
  <c r="AU1" i="1"/>
  <c r="AT1" i="1"/>
  <c r="AS1" i="1"/>
  <c r="AW1920" i="1" l="1"/>
  <c r="AX1920" i="1"/>
  <c r="J1920" i="1"/>
  <c r="K1920" i="1"/>
  <c r="K2614" i="1"/>
  <c r="K2576" i="1"/>
  <c r="J2603" i="1"/>
  <c r="K2664" i="1"/>
  <c r="M2516" i="1"/>
  <c r="AW2516" i="1"/>
  <c r="AX2516" i="1"/>
  <c r="J2516" i="1"/>
  <c r="K2516" i="1"/>
  <c r="K2390" i="1"/>
  <c r="J2360" i="1"/>
  <c r="J2375" i="1"/>
  <c r="J2551" i="1"/>
  <c r="K2371" i="1"/>
  <c r="K2467" i="1"/>
  <c r="AW1997" i="1"/>
  <c r="K2029" i="1"/>
  <c r="AX1997" i="1"/>
  <c r="K2597" i="1"/>
  <c r="K2551" i="1"/>
  <c r="K2366" i="1"/>
  <c r="K2360" i="1"/>
  <c r="J859" i="1"/>
  <c r="J1997" i="1"/>
  <c r="K1997" i="1"/>
  <c r="J2387" i="1"/>
  <c r="K460" i="1"/>
  <c r="BH2527" i="1"/>
  <c r="AD2527" i="1" s="1"/>
  <c r="K2075" i="1"/>
  <c r="M650" i="1"/>
  <c r="BI2527" i="1"/>
  <c r="AE2527" i="1" s="1"/>
  <c r="M1997" i="1"/>
  <c r="K2542" i="1"/>
  <c r="J2290" i="1"/>
  <c r="J2395" i="1"/>
  <c r="K2602" i="1"/>
  <c r="M2527" i="1"/>
  <c r="J2698" i="1"/>
  <c r="K2605" i="1"/>
  <c r="K2564" i="1"/>
  <c r="AV2527" i="1"/>
  <c r="BC2527" i="1"/>
  <c r="O998" i="1"/>
  <c r="K2511" i="1"/>
  <c r="K945" i="1"/>
  <c r="L998" i="1"/>
  <c r="AW2529" i="1"/>
  <c r="K2369" i="1"/>
  <c r="J1851" i="1"/>
  <c r="M2655" i="1"/>
  <c r="M1050" i="1"/>
  <c r="AX2529" i="1"/>
  <c r="J2746" i="1"/>
  <c r="J2745" i="1" s="1"/>
  <c r="D72" i="2" s="1"/>
  <c r="K2375" i="1"/>
  <c r="J1048" i="1"/>
  <c r="J1058" i="1"/>
  <c r="J2529" i="1"/>
  <c r="K1192" i="1"/>
  <c r="K2529" i="1"/>
  <c r="M2529" i="1"/>
  <c r="AL1103" i="1"/>
  <c r="J1103" i="1"/>
  <c r="K1103" i="1"/>
  <c r="K2629" i="1"/>
  <c r="J2486" i="1"/>
  <c r="M2062" i="1"/>
  <c r="K2439" i="1"/>
  <c r="BH1492" i="1"/>
  <c r="AD1492" i="1" s="1"/>
  <c r="K2331" i="1"/>
  <c r="K2416" i="1"/>
  <c r="K2334" i="1"/>
  <c r="K2540" i="1"/>
  <c r="BH1058" i="1"/>
  <c r="AB1058" i="1" s="1"/>
  <c r="K2502" i="1"/>
  <c r="J2557" i="1"/>
  <c r="J2635" i="1"/>
  <c r="K2318" i="1"/>
  <c r="K1667" i="1"/>
  <c r="J2371" i="1"/>
  <c r="K2581" i="1"/>
  <c r="K1699" i="1"/>
  <c r="J1914" i="1"/>
  <c r="K970" i="1"/>
  <c r="AX1395" i="1"/>
  <c r="J2664" i="1"/>
  <c r="K1137" i="1"/>
  <c r="K1851" i="1"/>
  <c r="K1868" i="1"/>
  <c r="AW1103" i="1"/>
  <c r="K1562" i="1"/>
  <c r="J2234" i="1"/>
  <c r="AX1103" i="1"/>
  <c r="J2247" i="1"/>
  <c r="K1862" i="1"/>
  <c r="K2247" i="1"/>
  <c r="AX1072" i="1"/>
  <c r="AV1072" i="1" s="1"/>
  <c r="K123" i="1"/>
  <c r="J1682" i="1"/>
  <c r="J999" i="1"/>
  <c r="K2285" i="1"/>
  <c r="K2587" i="1"/>
  <c r="J1766" i="1"/>
  <c r="K1836" i="1"/>
  <c r="K1766" i="1"/>
  <c r="K1314" i="1"/>
  <c r="J2567" i="1"/>
  <c r="J2801" i="1"/>
  <c r="J1473" i="1"/>
  <c r="J1081" i="1"/>
  <c r="K2746" i="1"/>
  <c r="K2745" i="1" s="1"/>
  <c r="E72" i="2" s="1"/>
  <c r="K2302" i="1"/>
  <c r="K2515" i="1"/>
  <c r="J1092" i="1"/>
  <c r="J1192" i="1"/>
  <c r="K2317" i="1"/>
  <c r="AX1473" i="1"/>
  <c r="AV1473" i="1" s="1"/>
  <c r="M1063" i="1"/>
  <c r="M1081" i="1"/>
  <c r="K1899" i="1"/>
  <c r="K2290" i="1"/>
  <c r="J1827" i="1"/>
  <c r="M999" i="1"/>
  <c r="BH1063" i="1"/>
  <c r="AB1063" i="1" s="1"/>
  <c r="BH1081" i="1"/>
  <c r="AB1081" i="1" s="1"/>
  <c r="J2402" i="1"/>
  <c r="K2429" i="1"/>
  <c r="K2554" i="1"/>
  <c r="K1890" i="1"/>
  <c r="K1914" i="1"/>
  <c r="K2256" i="1"/>
  <c r="J2472" i="1"/>
  <c r="K2769" i="1"/>
  <c r="K2768" i="1" s="1"/>
  <c r="E80" i="2" s="1"/>
  <c r="K1832" i="1"/>
  <c r="K2268" i="1"/>
  <c r="K1859" i="1"/>
  <c r="K2569" i="1"/>
  <c r="K2635" i="1"/>
  <c r="K1268" i="1"/>
  <c r="J1007" i="1"/>
  <c r="M1037" i="1"/>
  <c r="AX1058" i="1"/>
  <c r="AV1058" i="1" s="1"/>
  <c r="J1063" i="1"/>
  <c r="J1072" i="1"/>
  <c r="K1081" i="1"/>
  <c r="K1754" i="1"/>
  <c r="K1769" i="1"/>
  <c r="AL1050" i="1"/>
  <c r="K2612" i="1"/>
  <c r="AW1048" i="1"/>
  <c r="J1754" i="1"/>
  <c r="K1615" i="1"/>
  <c r="J2011" i="1"/>
  <c r="J2466" i="1"/>
  <c r="J2548" i="1"/>
  <c r="J1395" i="1"/>
  <c r="BI1492" i="1"/>
  <c r="AE1492" i="1" s="1"/>
  <c r="K999" i="1"/>
  <c r="AW1007" i="1"/>
  <c r="AX1048" i="1"/>
  <c r="BI1063" i="1"/>
  <c r="AC1063" i="1" s="1"/>
  <c r="AX1092" i="1"/>
  <c r="BC1092" i="1" s="1"/>
  <c r="J1623" i="1"/>
  <c r="AW1395" i="1"/>
  <c r="BH1473" i="1"/>
  <c r="AD1473" i="1" s="1"/>
  <c r="AX1007" i="1"/>
  <c r="J1994" i="1"/>
  <c r="K2699" i="1"/>
  <c r="J1602" i="1"/>
  <c r="K1854" i="1"/>
  <c r="K2258" i="1"/>
  <c r="K2324" i="1"/>
  <c r="J2369" i="1"/>
  <c r="K2383" i="1"/>
  <c r="J691" i="1"/>
  <c r="BI1473" i="1"/>
  <c r="AE1473" i="1" s="1"/>
  <c r="BH1050" i="1"/>
  <c r="AB1050" i="1" s="1"/>
  <c r="K1205" i="1"/>
  <c r="AW999" i="1"/>
  <c r="BC999" i="1" s="1"/>
  <c r="BI1050" i="1"/>
  <c r="AC1050" i="1" s="1"/>
  <c r="AL1081" i="1"/>
  <c r="BH1092" i="1"/>
  <c r="AB1092" i="1" s="1"/>
  <c r="K1682" i="1"/>
  <c r="K1802" i="1"/>
  <c r="K1985" i="1"/>
  <c r="BI1395" i="1"/>
  <c r="AE1395" i="1" s="1"/>
  <c r="K2622" i="1"/>
  <c r="BH1037" i="1"/>
  <c r="AB1037" i="1" s="1"/>
  <c r="M1563" i="1"/>
  <c r="BI1037" i="1"/>
  <c r="AC1037" i="1" s="1"/>
  <c r="K1610" i="1"/>
  <c r="K1827" i="1"/>
  <c r="J2495" i="1"/>
  <c r="BI999" i="1"/>
  <c r="AC999" i="1" s="1"/>
  <c r="K1063" i="1"/>
  <c r="K81" i="1"/>
  <c r="J1658" i="1"/>
  <c r="J2075" i="1"/>
  <c r="M1022" i="1"/>
  <c r="BH1072" i="1"/>
  <c r="AB1072" i="1" s="1"/>
  <c r="BI1081" i="1"/>
  <c r="AC1081" i="1" s="1"/>
  <c r="BC1050" i="1"/>
  <c r="AV1050" i="1"/>
  <c r="BC1037" i="1"/>
  <c r="AV1037" i="1"/>
  <c r="BC1081" i="1"/>
  <c r="AV1081" i="1"/>
  <c r="BC1063" i="1"/>
  <c r="AV1063" i="1"/>
  <c r="AX1022" i="1"/>
  <c r="AX1049" i="1"/>
  <c r="AX1062" i="1"/>
  <c r="AX1074" i="1"/>
  <c r="AV1074" i="1" s="1"/>
  <c r="AX1099" i="1"/>
  <c r="AW1022" i="1"/>
  <c r="AW1062" i="1"/>
  <c r="AW1099" i="1"/>
  <c r="K1007" i="1"/>
  <c r="K1048" i="1"/>
  <c r="K1058" i="1"/>
  <c r="K1072" i="1"/>
  <c r="K1092" i="1"/>
  <c r="M1007" i="1"/>
  <c r="M1048" i="1"/>
  <c r="M1058" i="1"/>
  <c r="M1072" i="1"/>
  <c r="M1092" i="1"/>
  <c r="AW1049" i="1"/>
  <c r="J1022" i="1"/>
  <c r="J1049" i="1"/>
  <c r="J1062" i="1"/>
  <c r="J1074" i="1"/>
  <c r="BH1074" i="1"/>
  <c r="AB1074" i="1" s="1"/>
  <c r="J1099" i="1"/>
  <c r="K1022" i="1"/>
  <c r="K1049" i="1"/>
  <c r="K1062" i="1"/>
  <c r="K1074" i="1"/>
  <c r="K1099" i="1"/>
  <c r="M1049" i="1"/>
  <c r="M1062" i="1"/>
  <c r="M1074" i="1"/>
  <c r="M1099" i="1"/>
  <c r="M2553" i="1"/>
  <c r="K1845" i="1"/>
  <c r="J2303" i="1"/>
  <c r="J1655" i="1"/>
  <c r="J1863" i="1"/>
  <c r="K2473" i="1"/>
  <c r="K384" i="1"/>
  <c r="K2378" i="1"/>
  <c r="J1145" i="1"/>
  <c r="J217" i="1"/>
  <c r="J1814" i="1"/>
  <c r="J2504" i="1"/>
  <c r="J2615" i="1"/>
  <c r="K481" i="1"/>
  <c r="J2286" i="1"/>
  <c r="AW504" i="1"/>
  <c r="J2259" i="1"/>
  <c r="J2598" i="1"/>
  <c r="J1392" i="1"/>
  <c r="K2320" i="1"/>
  <c r="K2567" i="1"/>
  <c r="K1658" i="1"/>
  <c r="J2242" i="1"/>
  <c r="K2237" i="1"/>
  <c r="J2144" i="1"/>
  <c r="J1751" i="1"/>
  <c r="J2258" i="1"/>
  <c r="K2486" i="1"/>
  <c r="J2515" i="1"/>
  <c r="K906" i="1"/>
  <c r="J1756" i="1"/>
  <c r="BI1934" i="1"/>
  <c r="AE1934" i="1" s="1"/>
  <c r="M2552" i="1"/>
  <c r="BI2100" i="1"/>
  <c r="AE2100" i="1" s="1"/>
  <c r="K2242" i="1"/>
  <c r="K336" i="1"/>
  <c r="K1841" i="1"/>
  <c r="K1430" i="1"/>
  <c r="J151" i="1"/>
  <c r="K640" i="1"/>
  <c r="J1590" i="1"/>
  <c r="J2388" i="1"/>
  <c r="J2391" i="1"/>
  <c r="J2469" i="1"/>
  <c r="J2570" i="1"/>
  <c r="BH1392" i="1"/>
  <c r="AD1392" i="1" s="1"/>
  <c r="BH1458" i="1"/>
  <c r="AD1458" i="1" s="1"/>
  <c r="AX1452" i="1"/>
  <c r="BC1452" i="1" s="1"/>
  <c r="BI1452" i="1"/>
  <c r="AE1452" i="1" s="1"/>
  <c r="J1458" i="1"/>
  <c r="AW1497" i="1"/>
  <c r="J1529" i="1"/>
  <c r="BH1529" i="1"/>
  <c r="AD1529" i="1" s="1"/>
  <c r="AX1529" i="1"/>
  <c r="AV1529" i="1" s="1"/>
  <c r="K1884" i="1"/>
  <c r="K2504" i="1"/>
  <c r="M2568" i="1"/>
  <c r="J2616" i="1"/>
  <c r="AW2641" i="1"/>
  <c r="J2805" i="1"/>
  <c r="M2045" i="1"/>
  <c r="BH1452" i="1"/>
  <c r="AD1452" i="1" s="1"/>
  <c r="K1736" i="1"/>
  <c r="BI2045" i="1"/>
  <c r="AE2045" i="1" s="1"/>
  <c r="AW1430" i="1"/>
  <c r="K1756" i="1"/>
  <c r="K1256" i="1"/>
  <c r="J2029" i="1"/>
  <c r="K2045" i="1"/>
  <c r="K1624" i="1"/>
  <c r="J269" i="1"/>
  <c r="J882" i="1"/>
  <c r="M1741" i="1"/>
  <c r="J1761" i="1"/>
  <c r="BH1825" i="1"/>
  <c r="AD1825" i="1" s="1"/>
  <c r="J1901" i="1"/>
  <c r="AX2259" i="1"/>
  <c r="AV2259" i="1" s="1"/>
  <c r="J2538" i="1"/>
  <c r="J2579" i="1"/>
  <c r="J2689" i="1"/>
  <c r="AX1430" i="1"/>
  <c r="BH1447" i="1"/>
  <c r="AD1447" i="1" s="1"/>
  <c r="BI1529" i="1"/>
  <c r="AE1529" i="1" s="1"/>
  <c r="J1741" i="1"/>
  <c r="J1921" i="1"/>
  <c r="K2475" i="1"/>
  <c r="AX1497" i="1"/>
  <c r="AV1497" i="1" s="1"/>
  <c r="BH1517" i="1"/>
  <c r="AD1517" i="1" s="1"/>
  <c r="J1634" i="1"/>
  <c r="K1838" i="1"/>
  <c r="J1559" i="1"/>
  <c r="K2346" i="1"/>
  <c r="J2453" i="1"/>
  <c r="K2501" i="1"/>
  <c r="K2702" i="1"/>
  <c r="K2709" i="1"/>
  <c r="K349" i="1"/>
  <c r="K1857" i="1"/>
  <c r="K1915" i="1"/>
  <c r="K2011" i="1"/>
  <c r="K2593" i="1"/>
  <c r="J1657" i="1"/>
  <c r="J1748" i="1"/>
  <c r="BC2343" i="1"/>
  <c r="J1423" i="1"/>
  <c r="BH1430" i="1"/>
  <c r="AD1430" i="1" s="1"/>
  <c r="BI1517" i="1"/>
  <c r="AE1517" i="1" s="1"/>
  <c r="K1136" i="1"/>
  <c r="K2472" i="1"/>
  <c r="K2461" i="1"/>
  <c r="K2596" i="1"/>
  <c r="J2641" i="1"/>
  <c r="K1559" i="1"/>
  <c r="J1452" i="1"/>
  <c r="J1783" i="1"/>
  <c r="K1814" i="1"/>
  <c r="K1663" i="1"/>
  <c r="J1633" i="1"/>
  <c r="J2474" i="1"/>
  <c r="AX1388" i="1"/>
  <c r="BH1423" i="1"/>
  <c r="AD1423" i="1" s="1"/>
  <c r="K2750" i="1"/>
  <c r="K2749" i="1" s="1"/>
  <c r="E73" i="2" s="1"/>
  <c r="J1447" i="1"/>
  <c r="K2259" i="1"/>
  <c r="L2103" i="1"/>
  <c r="F57" i="2" s="1"/>
  <c r="I57" i="2" s="1"/>
  <c r="K1634" i="1"/>
  <c r="J1805" i="1"/>
  <c r="K2599" i="1"/>
  <c r="J1639" i="1"/>
  <c r="K2144" i="1"/>
  <c r="K2623" i="1"/>
  <c r="M1554" i="1"/>
  <c r="M2618" i="1"/>
  <c r="O2798" i="1"/>
  <c r="G83" i="2" s="1"/>
  <c r="M2801" i="1"/>
  <c r="K2469" i="1"/>
  <c r="J2475" i="1"/>
  <c r="K1574" i="1"/>
  <c r="J1999" i="1"/>
  <c r="K2541" i="1"/>
  <c r="K2548" i="1"/>
  <c r="M1770" i="1"/>
  <c r="M2075" i="1"/>
  <c r="BC1517" i="1"/>
  <c r="AV1517" i="1"/>
  <c r="BC1423" i="1"/>
  <c r="AV1423" i="1"/>
  <c r="BC1492" i="1"/>
  <c r="AV1492" i="1"/>
  <c r="BC1458" i="1"/>
  <c r="AV1458" i="1"/>
  <c r="BC1447" i="1"/>
  <c r="AV1447" i="1"/>
  <c r="BC1392" i="1"/>
  <c r="AV1392" i="1"/>
  <c r="K1392" i="1"/>
  <c r="BI1392" i="1"/>
  <c r="AE1392" i="1" s="1"/>
  <c r="K1423" i="1"/>
  <c r="BI1423" i="1"/>
  <c r="AE1423" i="1" s="1"/>
  <c r="BI1447" i="1"/>
  <c r="AE1447" i="1" s="1"/>
  <c r="BI1458" i="1"/>
  <c r="AE1458" i="1" s="1"/>
  <c r="AW1388" i="1"/>
  <c r="M1392" i="1"/>
  <c r="AW1415" i="1"/>
  <c r="M1423" i="1"/>
  <c r="AW1439" i="1"/>
  <c r="M1447" i="1"/>
  <c r="AW1455" i="1"/>
  <c r="M1458" i="1"/>
  <c r="AW1488" i="1"/>
  <c r="M1492" i="1"/>
  <c r="AW1505" i="1"/>
  <c r="M1517" i="1"/>
  <c r="AW1552" i="1"/>
  <c r="AX1415" i="1"/>
  <c r="AX1439" i="1"/>
  <c r="AX1455" i="1"/>
  <c r="AX1488" i="1"/>
  <c r="AX1505" i="1"/>
  <c r="AX1552" i="1"/>
  <c r="M1395" i="1"/>
  <c r="M1430" i="1"/>
  <c r="M1452" i="1"/>
  <c r="M1473" i="1"/>
  <c r="M1497" i="1"/>
  <c r="M1529" i="1"/>
  <c r="J1388" i="1"/>
  <c r="J1415" i="1"/>
  <c r="J1439" i="1"/>
  <c r="J1455" i="1"/>
  <c r="J1488" i="1"/>
  <c r="J1505" i="1"/>
  <c r="J1552" i="1"/>
  <c r="K1388" i="1"/>
  <c r="K1415" i="1"/>
  <c r="K1439" i="1"/>
  <c r="K1455" i="1"/>
  <c r="K1488" i="1"/>
  <c r="K1505" i="1"/>
  <c r="K1552" i="1"/>
  <c r="M1388" i="1"/>
  <c r="M1415" i="1"/>
  <c r="M1439" i="1"/>
  <c r="M1455" i="1"/>
  <c r="M1488" i="1"/>
  <c r="M1505" i="1"/>
  <c r="M1552" i="1"/>
  <c r="K882" i="1"/>
  <c r="K1344" i="1"/>
  <c r="K2546" i="1"/>
  <c r="J2420" i="1"/>
  <c r="J2098" i="1"/>
  <c r="K420" i="1"/>
  <c r="K2579" i="1"/>
  <c r="K2712" i="1"/>
  <c r="J1565" i="1"/>
  <c r="BI1896" i="1"/>
  <c r="AE1896" i="1" s="1"/>
  <c r="M2474" i="1"/>
  <c r="BH2692" i="1"/>
  <c r="AF2692" i="1" s="1"/>
  <c r="K1765" i="1"/>
  <c r="K1755" i="1"/>
  <c r="J1239" i="1"/>
  <c r="J2580" i="1"/>
  <c r="K2018" i="1"/>
  <c r="K1758" i="1"/>
  <c r="AW1851" i="1"/>
  <c r="BC1851" i="1" s="1"/>
  <c r="J2365" i="1"/>
  <c r="J2100" i="1"/>
  <c r="K1863" i="1"/>
  <c r="K1671" i="1"/>
  <c r="BH941" i="1"/>
  <c r="AB941" i="1" s="1"/>
  <c r="M1823" i="1"/>
  <c r="K2566" i="1"/>
  <c r="K2641" i="1"/>
  <c r="J1755" i="1"/>
  <c r="K2414" i="1"/>
  <c r="K1145" i="1"/>
  <c r="K1636" i="1"/>
  <c r="M2104" i="1"/>
  <c r="AX2100" i="1"/>
  <c r="BC2100" i="1" s="1"/>
  <c r="J1860" i="1"/>
  <c r="AX1314" i="1"/>
  <c r="J701" i="1"/>
  <c r="J1625" i="1"/>
  <c r="K1896" i="1"/>
  <c r="J1924" i="1"/>
  <c r="J651" i="1"/>
  <c r="J1571" i="1"/>
  <c r="AW1856" i="1"/>
  <c r="J2288" i="1"/>
  <c r="J2362" i="1"/>
  <c r="BH2104" i="1"/>
  <c r="AD2104" i="1" s="1"/>
  <c r="K76" i="1"/>
  <c r="K269" i="1"/>
  <c r="AW1909" i="1"/>
  <c r="AV1909" i="1" s="1"/>
  <c r="BH2330" i="1"/>
  <c r="AD2330" i="1" s="1"/>
  <c r="M2658" i="1"/>
  <c r="O2800" i="1"/>
  <c r="G84" i="2" s="1"/>
  <c r="BH2100" i="1"/>
  <c r="AD2100" i="1" s="1"/>
  <c r="BH2098" i="1"/>
  <c r="AD2098" i="1" s="1"/>
  <c r="AX2093" i="1"/>
  <c r="AV2093" i="1" s="1"/>
  <c r="J2062" i="1"/>
  <c r="K2054" i="1"/>
  <c r="AX2054" i="1"/>
  <c r="AV2054" i="1" s="1"/>
  <c r="AX2634" i="1"/>
  <c r="J2658" i="1"/>
  <c r="M2812" i="1"/>
  <c r="AS2103" i="1"/>
  <c r="J2054" i="1"/>
  <c r="K2067" i="1"/>
  <c r="K1148" i="1"/>
  <c r="K1910" i="1"/>
  <c r="J2001" i="1"/>
  <c r="K2570" i="1"/>
  <c r="K2098" i="1"/>
  <c r="K202" i="1"/>
  <c r="K548" i="1"/>
  <c r="K1239" i="1"/>
  <c r="AW202" i="1"/>
  <c r="AV202" i="1" s="1"/>
  <c r="J247" i="1"/>
  <c r="M859" i="1"/>
  <c r="AT2103" i="1"/>
  <c r="BH2677" i="1"/>
  <c r="AF2677" i="1" s="1"/>
  <c r="J2045" i="1"/>
  <c r="K2062" i="1"/>
  <c r="AL2062" i="1"/>
  <c r="AX2067" i="1"/>
  <c r="AV2067" i="1" s="1"/>
  <c r="M2098" i="1"/>
  <c r="J1574" i="1"/>
  <c r="K1633" i="1"/>
  <c r="M1567" i="1"/>
  <c r="M1603" i="1"/>
  <c r="BI1727" i="1"/>
  <c r="AE1727" i="1" s="1"/>
  <c r="K2456" i="1"/>
  <c r="BI2570" i="1"/>
  <c r="AG2570" i="1" s="1"/>
  <c r="BI2801" i="1"/>
  <c r="AC2801" i="1" s="1"/>
  <c r="AL2045" i="1"/>
  <c r="K1924" i="1"/>
  <c r="K1745" i="1"/>
  <c r="K1748" i="1"/>
  <c r="K1820" i="1"/>
  <c r="K1880" i="1"/>
  <c r="BH2093" i="1"/>
  <c r="AD2093" i="1" s="1"/>
  <c r="BI2098" i="1"/>
  <c r="AE2098" i="1" s="1"/>
  <c r="J1344" i="1"/>
  <c r="M1202" i="1"/>
  <c r="K151" i="1"/>
  <c r="AX1658" i="1"/>
  <c r="BC1658" i="1" s="1"/>
  <c r="BH2067" i="1"/>
  <c r="AD2067" i="1" s="1"/>
  <c r="BH2075" i="1"/>
  <c r="AD2075" i="1" s="1"/>
  <c r="BI2093" i="1"/>
  <c r="AE2093" i="1" s="1"/>
  <c r="K443" i="1"/>
  <c r="BH202" i="1"/>
  <c r="AB202" i="1" s="1"/>
  <c r="M1580" i="1"/>
  <c r="J1909" i="1"/>
  <c r="M2021" i="1"/>
  <c r="AX2383" i="1"/>
  <c r="AW2104" i="1"/>
  <c r="BH2054" i="1"/>
  <c r="AD2054" i="1" s="1"/>
  <c r="BH2062" i="1"/>
  <c r="AD2062" i="1" s="1"/>
  <c r="BI2075" i="1"/>
  <c r="AE2075" i="1" s="1"/>
  <c r="K1270" i="1"/>
  <c r="O2103" i="1"/>
  <c r="BH2045" i="1"/>
  <c r="AD2045" i="1" s="1"/>
  <c r="BI2062" i="1"/>
  <c r="AE2062" i="1" s="1"/>
  <c r="K2458" i="1"/>
  <c r="J73" i="1"/>
  <c r="BI1268" i="1"/>
  <c r="BI1721" i="1"/>
  <c r="AE1721" i="1" s="1"/>
  <c r="J1747" i="1"/>
  <c r="BI1753" i="1"/>
  <c r="AE1753" i="1" s="1"/>
  <c r="AW2303" i="1"/>
  <c r="BI2629" i="1"/>
  <c r="AG2629" i="1" s="1"/>
  <c r="J2729" i="1"/>
  <c r="K413" i="1"/>
  <c r="K2449" i="1"/>
  <c r="K2480" i="1"/>
  <c r="AW151" i="1"/>
  <c r="AV151" i="1" s="1"/>
  <c r="AS684" i="1"/>
  <c r="BH1737" i="1"/>
  <c r="AD1737" i="1" s="1"/>
  <c r="BI1769" i="1"/>
  <c r="AE1769" i="1" s="1"/>
  <c r="J2582" i="1"/>
  <c r="AL2104" i="1"/>
  <c r="J2093" i="1"/>
  <c r="M1718" i="1"/>
  <c r="M2484" i="1"/>
  <c r="M2543" i="1"/>
  <c r="L2794" i="1"/>
  <c r="F82" i="2" s="1"/>
  <c r="I82" i="2" s="1"/>
  <c r="J2067" i="1"/>
  <c r="BC2075" i="1"/>
  <c r="AV2075" i="1"/>
  <c r="BC2062" i="1"/>
  <c r="AV2062" i="1"/>
  <c r="BC2045" i="1"/>
  <c r="AV2045" i="1"/>
  <c r="BC2098" i="1"/>
  <c r="AV2098" i="1"/>
  <c r="AW2034" i="1"/>
  <c r="AW2057" i="1"/>
  <c r="AW2071" i="1"/>
  <c r="AW2096" i="1"/>
  <c r="AW2102" i="1"/>
  <c r="AX2034" i="1"/>
  <c r="AX2057" i="1"/>
  <c r="AX2071" i="1"/>
  <c r="AX2096" i="1"/>
  <c r="AX2102" i="1"/>
  <c r="M2054" i="1"/>
  <c r="M2067" i="1"/>
  <c r="M2093" i="1"/>
  <c r="M2100" i="1"/>
  <c r="J2034" i="1"/>
  <c r="J2057" i="1"/>
  <c r="J2071" i="1"/>
  <c r="J2096" i="1"/>
  <c r="J2102" i="1"/>
  <c r="K2034" i="1"/>
  <c r="K2057" i="1"/>
  <c r="K2071" i="1"/>
  <c r="K2096" i="1"/>
  <c r="K2102" i="1"/>
  <c r="M2034" i="1"/>
  <c r="M2057" i="1"/>
  <c r="M2071" i="1"/>
  <c r="M2096" i="1"/>
  <c r="M2102" i="1"/>
  <c r="M2412" i="1"/>
  <c r="AX2470" i="1"/>
  <c r="AX2526" i="1"/>
  <c r="M2534" i="1"/>
  <c r="J2558" i="1"/>
  <c r="M2646" i="1"/>
  <c r="AX2666" i="1"/>
  <c r="BC2666" i="1" s="1"/>
  <c r="AL2812" i="1"/>
  <c r="AT2834" i="1"/>
  <c r="J212" i="1"/>
  <c r="J452" i="1"/>
  <c r="J1579" i="1"/>
  <c r="K2301" i="1"/>
  <c r="J2552" i="1"/>
  <c r="K1903" i="1"/>
  <c r="K85" i="1"/>
  <c r="J1165" i="1"/>
  <c r="J1576" i="1"/>
  <c r="J1599" i="1"/>
  <c r="J1618" i="1"/>
  <c r="BH2378" i="1"/>
  <c r="AD2378" i="1" s="1"/>
  <c r="J2447" i="1"/>
  <c r="BI2456" i="1"/>
  <c r="M2565" i="1"/>
  <c r="M2601" i="1"/>
  <c r="AX2637" i="1"/>
  <c r="M2670" i="1"/>
  <c r="J2726" i="1"/>
  <c r="AT2755" i="1"/>
  <c r="BC2838" i="1"/>
  <c r="AX2104" i="1"/>
  <c r="K1647" i="1"/>
  <c r="K1900" i="1"/>
  <c r="J2396" i="1"/>
  <c r="K2508" i="1"/>
  <c r="K2660" i="1"/>
  <c r="J687" i="1"/>
  <c r="AX1205" i="1"/>
  <c r="BI1565" i="1"/>
  <c r="AE1565" i="1" s="1"/>
  <c r="AX1699" i="1"/>
  <c r="M1836" i="1"/>
  <c r="BI2508" i="1"/>
  <c r="AE2508" i="1" s="1"/>
  <c r="M2591" i="1"/>
  <c r="BH2601" i="1"/>
  <c r="AF2601" i="1" s="1"/>
  <c r="M2604" i="1"/>
  <c r="J2644" i="1"/>
  <c r="BH2812" i="1"/>
  <c r="AB2812" i="1" s="1"/>
  <c r="J2852" i="1"/>
  <c r="J85" i="1"/>
  <c r="J1610" i="1"/>
  <c r="J1874" i="1"/>
  <c r="K1936" i="1"/>
  <c r="K2637" i="1"/>
  <c r="J213" i="1"/>
  <c r="BI420" i="1"/>
  <c r="AC420" i="1" s="1"/>
  <c r="BH1165" i="1"/>
  <c r="AB1165" i="1" s="1"/>
  <c r="M1569" i="1"/>
  <c r="M2624" i="1"/>
  <c r="AL2658" i="1"/>
  <c r="M2708" i="1"/>
  <c r="AT2719" i="1"/>
  <c r="K1571" i="1"/>
  <c r="K1582" i="1"/>
  <c r="J1205" i="1"/>
  <c r="K1264" i="1"/>
  <c r="J2223" i="1"/>
  <c r="K1954" i="1"/>
  <c r="M2588" i="1"/>
  <c r="M2661" i="1"/>
  <c r="J1256" i="1"/>
  <c r="K1565" i="1"/>
  <c r="J1282" i="1"/>
  <c r="K1706" i="1"/>
  <c r="K2104" i="1"/>
  <c r="K2584" i="1"/>
  <c r="M651" i="1"/>
  <c r="M1355" i="1"/>
  <c r="M1597" i="1"/>
  <c r="BI1757" i="1"/>
  <c r="AE1757" i="1" s="1"/>
  <c r="BI1848" i="1"/>
  <c r="AE1848" i="1" s="1"/>
  <c r="J1926" i="1"/>
  <c r="J2586" i="1"/>
  <c r="M2592" i="1"/>
  <c r="M2652" i="1"/>
  <c r="M2668" i="1"/>
  <c r="AW2836" i="1"/>
  <c r="M2807" i="1"/>
  <c r="J1562" i="1"/>
  <c r="K1747" i="1"/>
  <c r="K1762" i="1"/>
  <c r="K2578" i="1"/>
  <c r="J236" i="1"/>
  <c r="BH896" i="1"/>
  <c r="AB896" i="1" s="1"/>
  <c r="M1570" i="1"/>
  <c r="M1613" i="1"/>
  <c r="BI1851" i="1"/>
  <c r="AE1851" i="1" s="1"/>
  <c r="AW1872" i="1"/>
  <c r="BH1966" i="1"/>
  <c r="AD1966" i="1" s="1"/>
  <c r="BH2545" i="1"/>
  <c r="AF2545" i="1" s="1"/>
  <c r="AX2687" i="1"/>
  <c r="M2689" i="1"/>
  <c r="J443" i="1"/>
  <c r="M1254" i="1"/>
  <c r="M1589" i="1"/>
  <c r="M1609" i="1"/>
  <c r="BH1641" i="1"/>
  <c r="AD1641" i="1" s="1"/>
  <c r="BH1679" i="1"/>
  <c r="AD1679" i="1" s="1"/>
  <c r="BH2619" i="1"/>
  <c r="AF2619" i="1" s="1"/>
  <c r="BF2801" i="1"/>
  <c r="BC15" i="1"/>
  <c r="J510" i="1"/>
  <c r="J623" i="1"/>
  <c r="J903" i="1"/>
  <c r="K1174" i="1"/>
  <c r="K1262" i="1"/>
  <c r="K1781" i="1"/>
  <c r="J1898" i="1"/>
  <c r="J2510" i="1"/>
  <c r="M2616" i="1"/>
  <c r="AX2647" i="1"/>
  <c r="AV2647" i="1" s="1"/>
  <c r="J2653" i="1"/>
  <c r="J2686" i="1"/>
  <c r="J2707" i="1"/>
  <c r="AV2714" i="1"/>
  <c r="AV2769" i="1"/>
  <c r="J1985" i="1"/>
  <c r="K1282" i="1"/>
  <c r="AW1629" i="1"/>
  <c r="BI2271" i="1"/>
  <c r="AE2271" i="1" s="1"/>
  <c r="K1579" i="1"/>
  <c r="J1582" i="1"/>
  <c r="K1589" i="1"/>
  <c r="K1746" i="1"/>
  <c r="BI1579" i="1"/>
  <c r="AE1579" i="1" s="1"/>
  <c r="AW1898" i="1"/>
  <c r="AS111" i="1"/>
  <c r="BI130" i="1"/>
  <c r="AC130" i="1" s="1"/>
  <c r="J532" i="1"/>
  <c r="M1151" i="1"/>
  <c r="M1560" i="1"/>
  <c r="AX1577" i="1"/>
  <c r="AV1577" i="1" s="1"/>
  <c r="AW1608" i="1"/>
  <c r="AW1761" i="1"/>
  <c r="BH1828" i="1"/>
  <c r="AD1828" i="1" s="1"/>
  <c r="BI1862" i="1"/>
  <c r="AE1862" i="1" s="1"/>
  <c r="M1909" i="1"/>
  <c r="J2236" i="1"/>
  <c r="J2319" i="1"/>
  <c r="M2447" i="1"/>
  <c r="BH2525" i="1"/>
  <c r="AD2525" i="1" s="1"/>
  <c r="J2561" i="1"/>
  <c r="AW2623" i="1"/>
  <c r="AV2623" i="1" s="1"/>
  <c r="M2633" i="1"/>
  <c r="AS2725" i="1"/>
  <c r="J2799" i="1"/>
  <c r="J2798" i="1" s="1"/>
  <c r="D83" i="2" s="1"/>
  <c r="J2256" i="1"/>
  <c r="J2487" i="1"/>
  <c r="BI1649" i="1"/>
  <c r="AE1649" i="1" s="1"/>
  <c r="J1743" i="1"/>
  <c r="BH217" i="1"/>
  <c r="AB217" i="1" s="1"/>
  <c r="BI236" i="1"/>
  <c r="AC236" i="1" s="1"/>
  <c r="AW532" i="1"/>
  <c r="BC532" i="1" s="1"/>
  <c r="AV658" i="1"/>
  <c r="AW958" i="1"/>
  <c r="AV958" i="1" s="1"/>
  <c r="BH1629" i="1"/>
  <c r="AD1629" i="1" s="1"/>
  <c r="AX1636" i="1"/>
  <c r="AX1647" i="1"/>
  <c r="BI1688" i="1"/>
  <c r="AE1688" i="1" s="1"/>
  <c r="AW1753" i="1"/>
  <c r="AV1753" i="1" s="1"/>
  <c r="BI1781" i="1"/>
  <c r="M1802" i="1"/>
  <c r="BH1822" i="1"/>
  <c r="AD1822" i="1" s="1"/>
  <c r="AW1904" i="1"/>
  <c r="BH1907" i="1"/>
  <c r="AD1907" i="1" s="1"/>
  <c r="M2705" i="1"/>
  <c r="AS2794" i="1"/>
  <c r="K1856" i="1"/>
  <c r="K217" i="1"/>
  <c r="K236" i="1"/>
  <c r="AW269" i="1"/>
  <c r="BC269" i="1" s="1"/>
  <c r="AW452" i="1"/>
  <c r="J504" i="1"/>
  <c r="AW896" i="1"/>
  <c r="M1172" i="1"/>
  <c r="BI1262" i="1"/>
  <c r="AE1262" i="1" s="1"/>
  <c r="AW1768" i="1"/>
  <c r="AV1768" i="1" s="1"/>
  <c r="M1842" i="1"/>
  <c r="AW1842" i="1"/>
  <c r="BC1842" i="1" s="1"/>
  <c r="M1910" i="1"/>
  <c r="AX1934" i="1"/>
  <c r="M1948" i="1"/>
  <c r="K1988" i="1"/>
  <c r="J2257" i="1"/>
  <c r="J2309" i="1"/>
  <c r="AW2420" i="1"/>
  <c r="AL2534" i="1"/>
  <c r="AW2553" i="1"/>
  <c r="M2586" i="1"/>
  <c r="BH2592" i="1"/>
  <c r="AF2592" i="1" s="1"/>
  <c r="M2636" i="1"/>
  <c r="M2679" i="1"/>
  <c r="J2692" i="1"/>
  <c r="L2752" i="1"/>
  <c r="F74" i="2" s="1"/>
  <c r="I74" i="2" s="1"/>
  <c r="J640" i="1"/>
  <c r="K1660" i="1"/>
  <c r="K2753" i="1"/>
  <c r="K2752" i="1" s="1"/>
  <c r="E74" i="2" s="1"/>
  <c r="K73" i="1"/>
  <c r="M1860" i="1"/>
  <c r="M1918" i="1"/>
  <c r="AX1928" i="1"/>
  <c r="J2343" i="1"/>
  <c r="M2838" i="1"/>
  <c r="M2837" i="1" s="1"/>
  <c r="K1850" i="1"/>
  <c r="K2552" i="1"/>
  <c r="J665" i="1"/>
  <c r="J664" i="1" s="1"/>
  <c r="D24" i="2" s="1"/>
  <c r="BI906" i="1"/>
  <c r="AC906" i="1" s="1"/>
  <c r="M1578" i="1"/>
  <c r="J1591" i="1"/>
  <c r="AW1833" i="1"/>
  <c r="BC1833" i="1" s="1"/>
  <c r="BI1874" i="1"/>
  <c r="AE1874" i="1" s="1"/>
  <c r="J2410" i="1"/>
  <c r="J2428" i="1"/>
  <c r="AX2483" i="1"/>
  <c r="AV2483" i="1" s="1"/>
  <c r="AX2518" i="1"/>
  <c r="J1314" i="1"/>
  <c r="K1649" i="1"/>
  <c r="K1844" i="1"/>
  <c r="K2365" i="1"/>
  <c r="K212" i="1"/>
  <c r="AW349" i="1"/>
  <c r="AV349" i="1" s="1"/>
  <c r="K520" i="1"/>
  <c r="K584" i="1"/>
  <c r="J693" i="1"/>
  <c r="BI85" i="1"/>
  <c r="AC85" i="1" s="1"/>
  <c r="AW128" i="1"/>
  <c r="AV128" i="1" s="1"/>
  <c r="J180" i="1"/>
  <c r="J284" i="1"/>
  <c r="BI336" i="1"/>
  <c r="AC336" i="1" s="1"/>
  <c r="J364" i="1"/>
  <c r="J429" i="1"/>
  <c r="AX520" i="1"/>
  <c r="AV520" i="1" s="1"/>
  <c r="AX584" i="1"/>
  <c r="M1311" i="1"/>
  <c r="J1568" i="1"/>
  <c r="M1620" i="1"/>
  <c r="BI1667" i="1"/>
  <c r="AE1667" i="1" s="1"/>
  <c r="M1727" i="1"/>
  <c r="M1745" i="1"/>
  <c r="O1772" i="1"/>
  <c r="G51" i="2" s="1"/>
  <c r="AW1805" i="1"/>
  <c r="M1814" i="1"/>
  <c r="M1820" i="1"/>
  <c r="J1846" i="1"/>
  <c r="J1858" i="1"/>
  <c r="J1897" i="1"/>
  <c r="M2285" i="1"/>
  <c r="AX2285" i="1"/>
  <c r="AW2410" i="1"/>
  <c r="J2422" i="1"/>
  <c r="BI2458" i="1"/>
  <c r="AE2458" i="1" s="1"/>
  <c r="J2539" i="1"/>
  <c r="AW2578" i="1"/>
  <c r="BC2578" i="1" s="1"/>
  <c r="AW2668" i="1"/>
  <c r="BC2668" i="1" s="1"/>
  <c r="BH2674" i="1"/>
  <c r="AF2674" i="1" s="1"/>
  <c r="AX2690" i="1"/>
  <c r="AX2706" i="1"/>
  <c r="AS2850" i="1"/>
  <c r="J1817" i="1"/>
  <c r="K2314" i="1"/>
  <c r="J76" i="1"/>
  <c r="K112" i="1"/>
  <c r="J349" i="1"/>
  <c r="J128" i="1"/>
  <c r="AW180" i="1"/>
  <c r="BC180" i="1" s="1"/>
  <c r="K1339" i="1"/>
  <c r="M1824" i="1"/>
  <c r="AW1827" i="1"/>
  <c r="BC1827" i="1" s="1"/>
  <c r="BI1830" i="1"/>
  <c r="AE1830" i="1" s="1"/>
  <c r="BH1882" i="1"/>
  <c r="AD1882" i="1" s="1"/>
  <c r="BI2011" i="1"/>
  <c r="AE2011" i="1" s="1"/>
  <c r="AX2451" i="1"/>
  <c r="J2610" i="1"/>
  <c r="M2615" i="1"/>
  <c r="M2649" i="1"/>
  <c r="BH2671" i="1"/>
  <c r="AF2671" i="1" s="1"/>
  <c r="J2713" i="1"/>
  <c r="AS2834" i="1"/>
  <c r="AT2850" i="1"/>
  <c r="AL2807" i="1"/>
  <c r="K15" i="1"/>
  <c r="K65" i="1"/>
  <c r="BC1681" i="1"/>
  <c r="BH1692" i="1"/>
  <c r="AD1692" i="1" s="1"/>
  <c r="J1725" i="1"/>
  <c r="J1837" i="1"/>
  <c r="BH1846" i="1"/>
  <c r="AD1846" i="1" s="1"/>
  <c r="J1912" i="1"/>
  <c r="AW1921" i="1"/>
  <c r="J2322" i="1"/>
  <c r="M2486" i="1"/>
  <c r="BH2557" i="1"/>
  <c r="AF2557" i="1" s="1"/>
  <c r="AL2588" i="1"/>
  <c r="M2597" i="1"/>
  <c r="J2638" i="1"/>
  <c r="M2643" i="1"/>
  <c r="BH2668" i="1"/>
  <c r="AF2668" i="1" s="1"/>
  <c r="K2821" i="1"/>
  <c r="K2807" i="1"/>
  <c r="J2807" i="1"/>
  <c r="BH2807" i="1"/>
  <c r="AB2807" i="1" s="1"/>
  <c r="BI2807" i="1"/>
  <c r="AC2807" i="1" s="1"/>
  <c r="AW2805" i="1"/>
  <c r="BC2805" i="1" s="1"/>
  <c r="BI2805" i="1"/>
  <c r="AC2805" i="1" s="1"/>
  <c r="L2800" i="1"/>
  <c r="F84" i="2" s="1"/>
  <c r="I84" i="2" s="1"/>
  <c r="AL2801" i="1"/>
  <c r="AX2801" i="1"/>
  <c r="AV2801" i="1" s="1"/>
  <c r="J2829" i="1"/>
  <c r="J2828" i="1" s="1"/>
  <c r="BH2829" i="1"/>
  <c r="AT2828" i="1"/>
  <c r="BI86" i="1"/>
  <c r="AC86" i="1" s="1"/>
  <c r="AX86" i="1"/>
  <c r="AV86" i="1" s="1"/>
  <c r="AX205" i="1"/>
  <c r="BC205" i="1" s="1"/>
  <c r="BI205" i="1"/>
  <c r="AC205" i="1" s="1"/>
  <c r="J277" i="1"/>
  <c r="K128" i="1"/>
  <c r="AW278" i="1"/>
  <c r="J278" i="1"/>
  <c r="BI337" i="1"/>
  <c r="AC337" i="1" s="1"/>
  <c r="AW860" i="1"/>
  <c r="BH860" i="1"/>
  <c r="AB860" i="1" s="1"/>
  <c r="AW1168" i="1"/>
  <c r="M1622" i="1"/>
  <c r="AL1622" i="1"/>
  <c r="BI1682" i="1"/>
  <c r="AE1682" i="1" s="1"/>
  <c r="BH2445" i="1"/>
  <c r="AD2445" i="1" s="1"/>
  <c r="AW2445" i="1"/>
  <c r="AX2466" i="1"/>
  <c r="BI2466" i="1"/>
  <c r="AE2466" i="1" s="1"/>
  <c r="BI2649" i="1"/>
  <c r="AG2649" i="1" s="1"/>
  <c r="AX2649" i="1"/>
  <c r="BH2783" i="1"/>
  <c r="AB2783" i="1" s="1"/>
  <c r="AW2783" i="1"/>
  <c r="J2783" i="1"/>
  <c r="K941" i="1"/>
  <c r="AX1594" i="1"/>
  <c r="BI1594" i="1"/>
  <c r="AE1594" i="1" s="1"/>
  <c r="AW274" i="1"/>
  <c r="AV274" i="1" s="1"/>
  <c r="BH274" i="1"/>
  <c r="AB274" i="1" s="1"/>
  <c r="K2585" i="1"/>
  <c r="AX91" i="1"/>
  <c r="AX223" i="1"/>
  <c r="AV223" i="1" s="1"/>
  <c r="J274" i="1"/>
  <c r="AW542" i="1"/>
  <c r="BH542" i="1"/>
  <c r="AB542" i="1" s="1"/>
  <c r="BI970" i="1"/>
  <c r="AC970" i="1" s="1"/>
  <c r="AW1615" i="1"/>
  <c r="BC1615" i="1" s="1"/>
  <c r="BH1615" i="1"/>
  <c r="AD1615" i="1" s="1"/>
  <c r="AX1661" i="1"/>
  <c r="AX1713" i="1"/>
  <c r="BC1713" i="1" s="1"/>
  <c r="BI1713" i="1"/>
  <c r="AE1713" i="1" s="1"/>
  <c r="BH1745" i="1"/>
  <c r="AD1745" i="1" s="1"/>
  <c r="AW1745" i="1"/>
  <c r="BC1745" i="1" s="1"/>
  <c r="AW2292" i="1"/>
  <c r="J2292" i="1"/>
  <c r="K1661" i="1"/>
  <c r="BH2573" i="1"/>
  <c r="AF2573" i="1" s="1"/>
  <c r="AW2573" i="1"/>
  <c r="AV2573" i="1" s="1"/>
  <c r="BI2632" i="1"/>
  <c r="AG2632" i="1" s="1"/>
  <c r="AX2632" i="1"/>
  <c r="K2681" i="1"/>
  <c r="BF91" i="1"/>
  <c r="O90" i="1"/>
  <c r="G15" i="2" s="1"/>
  <c r="AL665" i="1"/>
  <c r="AU664" i="1" s="1"/>
  <c r="L664" i="1"/>
  <c r="F24" i="2" s="1"/>
  <c r="I24" i="2" s="1"/>
  <c r="AS1612" i="1"/>
  <c r="BC1910" i="1"/>
  <c r="AX2356" i="1"/>
  <c r="AV2356" i="1" s="1"/>
  <c r="BI2356" i="1"/>
  <c r="AE2356" i="1" s="1"/>
  <c r="BI91" i="1"/>
  <c r="AC91" i="1" s="1"/>
  <c r="BI180" i="1"/>
  <c r="AC180" i="1" s="1"/>
  <c r="AX247" i="1"/>
  <c r="AV247" i="1" s="1"/>
  <c r="BI247" i="1"/>
  <c r="AC247" i="1" s="1"/>
  <c r="BF665" i="1"/>
  <c r="BH1154" i="1"/>
  <c r="AB1154" i="1" s="1"/>
  <c r="J1154" i="1"/>
  <c r="K1710" i="1"/>
  <c r="AX1710" i="1"/>
  <c r="BC1710" i="1" s="1"/>
  <c r="AX1805" i="1"/>
  <c r="BI1805" i="1"/>
  <c r="AE1805" i="1" s="1"/>
  <c r="J1979" i="1"/>
  <c r="AW1979" i="1"/>
  <c r="BH2280" i="1"/>
  <c r="AD2280" i="1" s="1"/>
  <c r="J2280" i="1"/>
  <c r="AW2583" i="1"/>
  <c r="BH2583" i="1"/>
  <c r="AF2583" i="1" s="1"/>
  <c r="J654" i="1"/>
  <c r="BH654" i="1"/>
  <c r="AB654" i="1" s="1"/>
  <c r="AX1228" i="1"/>
  <c r="AV1228" i="1" s="1"/>
  <c r="BI1228" i="1"/>
  <c r="AE1228" i="1" s="1"/>
  <c r="AX1254" i="1"/>
  <c r="BI1254" i="1"/>
  <c r="AE1254" i="1" s="1"/>
  <c r="AX1725" i="1"/>
  <c r="AV1725" i="1" s="1"/>
  <c r="BI1725" i="1"/>
  <c r="AE1725" i="1" s="1"/>
  <c r="BI1728" i="1"/>
  <c r="K1728" i="1"/>
  <c r="BI2223" i="1"/>
  <c r="AE2223" i="1" s="1"/>
  <c r="AX2223" i="1"/>
  <c r="BC2223" i="1" s="1"/>
  <c r="AW2340" i="1"/>
  <c r="BH2340" i="1"/>
  <c r="AD2340" i="1" s="1"/>
  <c r="AW2484" i="1"/>
  <c r="AV2484" i="1" s="1"/>
  <c r="BH2484" i="1"/>
  <c r="AD2484" i="1" s="1"/>
  <c r="AX1625" i="1"/>
  <c r="AV1625" i="1" s="1"/>
  <c r="BI1625" i="1"/>
  <c r="AE1625" i="1" s="1"/>
  <c r="AW1694" i="1"/>
  <c r="J1694" i="1"/>
  <c r="AW1699" i="1"/>
  <c r="BH1699" i="1"/>
  <c r="AL1857" i="1"/>
  <c r="M1857" i="1"/>
  <c r="BH1899" i="1"/>
  <c r="AD1899" i="1" s="1"/>
  <c r="AW1899" i="1"/>
  <c r="BC1899" i="1" s="1"/>
  <c r="AX2340" i="1"/>
  <c r="BI2340" i="1"/>
  <c r="AE2340" i="1" s="1"/>
  <c r="BH2701" i="1"/>
  <c r="AF2701" i="1" s="1"/>
  <c r="AW2701" i="1"/>
  <c r="J2701" i="1"/>
  <c r="K223" i="1"/>
  <c r="AW528" i="1"/>
  <c r="BH528" i="1"/>
  <c r="AB528" i="1" s="1"/>
  <c r="M1577" i="1"/>
  <c r="AL1577" i="1"/>
  <c r="K1594" i="1"/>
  <c r="K452" i="1"/>
  <c r="BH515" i="1"/>
  <c r="AB515" i="1" s="1"/>
  <c r="AW515" i="1"/>
  <c r="J515" i="1"/>
  <c r="K654" i="1"/>
  <c r="K886" i="1"/>
  <c r="AX886" i="1"/>
  <c r="BI172" i="1"/>
  <c r="AC172" i="1" s="1"/>
  <c r="AX192" i="1"/>
  <c r="BC192" i="1" s="1"/>
  <c r="BI192" i="1"/>
  <c r="AC192" i="1" s="1"/>
  <c r="AX443" i="1"/>
  <c r="K867" i="1"/>
  <c r="BI867" i="1"/>
  <c r="AC867" i="1" s="1"/>
  <c r="AL1569" i="1"/>
  <c r="BI1613" i="1"/>
  <c r="AE1613" i="1" s="1"/>
  <c r="K1613" i="1"/>
  <c r="AW2237" i="1"/>
  <c r="AV2237" i="1" s="1"/>
  <c r="BH2237" i="1"/>
  <c r="AD2237" i="1" s="1"/>
  <c r="BH2260" i="1"/>
  <c r="AD2260" i="1" s="1"/>
  <c r="J2260" i="1"/>
  <c r="BH2563" i="1"/>
  <c r="AF2563" i="1" s="1"/>
  <c r="AW2563" i="1"/>
  <c r="AV2563" i="1" s="1"/>
  <c r="AW906" i="1"/>
  <c r="BC906" i="1" s="1"/>
  <c r="BH906" i="1"/>
  <c r="AB906" i="1" s="1"/>
  <c r="AX452" i="1"/>
  <c r="BI654" i="1"/>
  <c r="AC654" i="1" s="1"/>
  <c r="J1596" i="1"/>
  <c r="AW1627" i="1"/>
  <c r="BH1627" i="1"/>
  <c r="AD1627" i="1" s="1"/>
  <c r="M1666" i="1"/>
  <c r="AW1719" i="1"/>
  <c r="AV1719" i="1" s="1"/>
  <c r="BH1719" i="1"/>
  <c r="AD1719" i="1" s="1"/>
  <c r="BH1893" i="1"/>
  <c r="AW1893" i="1"/>
  <c r="BF2124" i="1"/>
  <c r="G57" i="2"/>
  <c r="J2563" i="1"/>
  <c r="AX2609" i="1"/>
  <c r="BI2609" i="1"/>
  <c r="AG2609" i="1" s="1"/>
  <c r="J1264" i="1"/>
  <c r="AW1671" i="1"/>
  <c r="BH1671" i="1"/>
  <c r="AD1671" i="1" s="1"/>
  <c r="L2226" i="1"/>
  <c r="F59" i="2" s="1"/>
  <c r="I59" i="2" s="1"/>
  <c r="BH2606" i="1"/>
  <c r="AF2606" i="1" s="1"/>
  <c r="J2606" i="1"/>
  <c r="AW2606" i="1"/>
  <c r="BC2606" i="1" s="1"/>
  <c r="BH1176" i="1"/>
  <c r="AW1176" i="1"/>
  <c r="AL1566" i="1"/>
  <c r="M1566" i="1"/>
  <c r="J2311" i="1"/>
  <c r="AX2385" i="1"/>
  <c r="AV2385" i="1" s="1"/>
  <c r="BI2385" i="1"/>
  <c r="AE2385" i="1" s="1"/>
  <c r="J2521" i="1"/>
  <c r="AX2525" i="1"/>
  <c r="BC2525" i="1" s="1"/>
  <c r="K1847" i="1"/>
  <c r="K172" i="1"/>
  <c r="K86" i="1"/>
  <c r="K205" i="1"/>
  <c r="K277" i="1"/>
  <c r="AT120" i="1"/>
  <c r="AX993" i="1"/>
  <c r="K1168" i="1"/>
  <c r="AX1168" i="1"/>
  <c r="BI1597" i="1"/>
  <c r="AE1597" i="1" s="1"/>
  <c r="AX1597" i="1"/>
  <c r="AW2228" i="1"/>
  <c r="BC2228" i="1" s="1"/>
  <c r="BH2228" i="1"/>
  <c r="AD2228" i="1" s="1"/>
  <c r="M2606" i="1"/>
  <c r="BI2684" i="1"/>
  <c r="AG2684" i="1" s="1"/>
  <c r="AX2684" i="1"/>
  <c r="AV2684" i="1" s="1"/>
  <c r="O1604" i="1"/>
  <c r="G42" i="2" s="1"/>
  <c r="BC1897" i="1"/>
  <c r="M1907" i="1"/>
  <c r="BC1916" i="1"/>
  <c r="K2234" i="1"/>
  <c r="K2388" i="1"/>
  <c r="AX2463" i="1"/>
  <c r="J2481" i="1"/>
  <c r="J2506" i="1"/>
  <c r="J2543" i="1"/>
  <c r="M2627" i="1"/>
  <c r="J2630" i="1"/>
  <c r="BH2729" i="1"/>
  <c r="AB2729" i="1" s="1"/>
  <c r="M2746" i="1"/>
  <c r="M2745" i="1" s="1"/>
  <c r="M2124" i="1"/>
  <c r="AW2499" i="1"/>
  <c r="AW2617" i="1"/>
  <c r="BC2617" i="1" s="1"/>
  <c r="BI2622" i="1"/>
  <c r="AG2622" i="1" s="1"/>
  <c r="AW2699" i="1"/>
  <c r="AW2799" i="1"/>
  <c r="BC2799" i="1" s="1"/>
  <c r="AW2823" i="1"/>
  <c r="M542" i="1"/>
  <c r="AW693" i="1"/>
  <c r="K1380" i="1"/>
  <c r="BI1574" i="1"/>
  <c r="AE1574" i="1" s="1"/>
  <c r="AW1613" i="1"/>
  <c r="AV1623" i="1"/>
  <c r="BI1651" i="1"/>
  <c r="AE1651" i="1" s="1"/>
  <c r="J1660" i="1"/>
  <c r="J1770" i="1"/>
  <c r="BI1820" i="1"/>
  <c r="AE1820" i="1" s="1"/>
  <c r="J1840" i="1"/>
  <c r="J1843" i="1"/>
  <c r="M1913" i="1"/>
  <c r="K1957" i="1"/>
  <c r="AX2018" i="1"/>
  <c r="BI2302" i="1"/>
  <c r="AE2302" i="1" s="1"/>
  <c r="AX2388" i="1"/>
  <c r="BC2388" i="1" s="1"/>
  <c r="AX2408" i="1"/>
  <c r="M2410" i="1"/>
  <c r="J2417" i="1"/>
  <c r="BI2463" i="1"/>
  <c r="AE2463" i="1" s="1"/>
  <c r="BH2474" i="1"/>
  <c r="AD2474" i="1" s="1"/>
  <c r="BI2558" i="1"/>
  <c r="AG2558" i="1" s="1"/>
  <c r="AW2561" i="1"/>
  <c r="BC2561" i="1" s="1"/>
  <c r="M2571" i="1"/>
  <c r="AW2571" i="1"/>
  <c r="BC2579" i="1"/>
  <c r="BI2581" i="1"/>
  <c r="AG2581" i="1" s="1"/>
  <c r="AW2586" i="1"/>
  <c r="BI2588" i="1"/>
  <c r="AG2588" i="1" s="1"/>
  <c r="J2591" i="1"/>
  <c r="AW2602" i="1"/>
  <c r="BC2602" i="1" s="1"/>
  <c r="M2619" i="1"/>
  <c r="K2625" i="1"/>
  <c r="BI2644" i="1"/>
  <c r="AG2644" i="1" s="1"/>
  <c r="AW2658" i="1"/>
  <c r="J2682" i="1"/>
  <c r="AW2689" i="1"/>
  <c r="AV2689" i="1" s="1"/>
  <c r="AX2699" i="1"/>
  <c r="AT1635" i="1"/>
  <c r="AW1843" i="1"/>
  <c r="BI1850" i="1"/>
  <c r="AE1850" i="1" s="1"/>
  <c r="AW1863" i="1"/>
  <c r="AV1863" i="1" s="1"/>
  <c r="BI1902" i="1"/>
  <c r="AE1902" i="1" s="1"/>
  <c r="M1957" i="1"/>
  <c r="BI1969" i="1"/>
  <c r="AE1969" i="1" s="1"/>
  <c r="BI2234" i="1"/>
  <c r="BI2318" i="1"/>
  <c r="AE2318" i="1" s="1"/>
  <c r="BI2360" i="1"/>
  <c r="AE2360" i="1" s="1"/>
  <c r="BI2402" i="1"/>
  <c r="AE2402" i="1" s="1"/>
  <c r="M2453" i="1"/>
  <c r="BH2460" i="1"/>
  <c r="BI2554" i="1"/>
  <c r="AG2554" i="1" s="1"/>
  <c r="AW2574" i="1"/>
  <c r="BI2617" i="1"/>
  <c r="AG2617" i="1" s="1"/>
  <c r="M2625" i="1"/>
  <c r="AS2828" i="1"/>
  <c r="BI384" i="1"/>
  <c r="AC384" i="1" s="1"/>
  <c r="M440" i="1"/>
  <c r="J639" i="1"/>
  <c r="M687" i="1"/>
  <c r="M873" i="1"/>
  <c r="J889" i="1"/>
  <c r="O1105" i="1"/>
  <c r="G30" i="2" s="1"/>
  <c r="M1270" i="1"/>
  <c r="M1360" i="1"/>
  <c r="M1555" i="1"/>
  <c r="M1564" i="1"/>
  <c r="AX1572" i="1"/>
  <c r="BC1572" i="1" s="1"/>
  <c r="M1590" i="1"/>
  <c r="M1619" i="1"/>
  <c r="BH1713" i="1"/>
  <c r="AD1713" i="1" s="1"/>
  <c r="BI1719" i="1"/>
  <c r="AE1719" i="1" s="1"/>
  <c r="J1760" i="1"/>
  <c r="M1768" i="1"/>
  <c r="J1911" i="1"/>
  <c r="BI1926" i="1"/>
  <c r="AE1926" i="1" s="1"/>
  <c r="AW2144" i="1"/>
  <c r="J2262" i="1"/>
  <c r="AX2369" i="1"/>
  <c r="BC2369" i="1" s="1"/>
  <c r="J2431" i="1"/>
  <c r="J2435" i="1"/>
  <c r="J2441" i="1"/>
  <c r="AW2467" i="1"/>
  <c r="M2499" i="1"/>
  <c r="M2522" i="1"/>
  <c r="J2594" i="1"/>
  <c r="AW2605" i="1"/>
  <c r="BC2605" i="1" s="1"/>
  <c r="AW2610" i="1"/>
  <c r="BI2615" i="1"/>
  <c r="AG2615" i="1" s="1"/>
  <c r="M2628" i="1"/>
  <c r="BI2640" i="1"/>
  <c r="AG2640" i="1" s="1"/>
  <c r="BH2647" i="1"/>
  <c r="AF2647" i="1" s="1"/>
  <c r="M2673" i="1"/>
  <c r="AX2705" i="1"/>
  <c r="BH2710" i="1"/>
  <c r="AF2710" i="1" s="1"/>
  <c r="AX2731" i="1"/>
  <c r="BC2731" i="1" s="1"/>
  <c r="AS2735" i="1"/>
  <c r="AW2812" i="1"/>
  <c r="O127" i="1"/>
  <c r="G18" i="2" s="1"/>
  <c r="K505" i="1"/>
  <c r="K681" i="1"/>
  <c r="BI962" i="1"/>
  <c r="AC962" i="1" s="1"/>
  <c r="AX1171" i="1"/>
  <c r="BC1171" i="1" s="1"/>
  <c r="AW1239" i="1"/>
  <c r="M1581" i="1"/>
  <c r="BH1623" i="1"/>
  <c r="AD1623" i="1" s="1"/>
  <c r="AL1666" i="1"/>
  <c r="AW1752" i="1"/>
  <c r="AV1752" i="1" s="1"/>
  <c r="AW1760" i="1"/>
  <c r="M1765" i="1"/>
  <c r="BI1832" i="1"/>
  <c r="AE1832" i="1" s="1"/>
  <c r="AW1853" i="1"/>
  <c r="BC1853" i="1" s="1"/>
  <c r="AW1870" i="1"/>
  <c r="M1923" i="1"/>
  <c r="J1938" i="1"/>
  <c r="AX2399" i="1"/>
  <c r="BC2399" i="1" s="1"/>
  <c r="BH2422" i="1"/>
  <c r="AD2422" i="1" s="1"/>
  <c r="AW2451" i="1"/>
  <c r="J2465" i="1"/>
  <c r="AX2467" i="1"/>
  <c r="M2493" i="1"/>
  <c r="BI2579" i="1"/>
  <c r="AG2579" i="1" s="1"/>
  <c r="AW2584" i="1"/>
  <c r="BC2584" i="1" s="1"/>
  <c r="J2589" i="1"/>
  <c r="BI2620" i="1"/>
  <c r="AG2620" i="1" s="1"/>
  <c r="AX2631" i="1"/>
  <c r="M2642" i="1"/>
  <c r="BH2707" i="1"/>
  <c r="AF2707" i="1" s="1"/>
  <c r="BH2720" i="1"/>
  <c r="AB2720" i="1" s="1"/>
  <c r="L2828" i="1"/>
  <c r="F87" i="2" s="1"/>
  <c r="I87" i="2" s="1"/>
  <c r="M623" i="1"/>
  <c r="AS1170" i="1"/>
  <c r="BH1660" i="1"/>
  <c r="AD1660" i="1" s="1"/>
  <c r="M1673" i="1"/>
  <c r="BH1817" i="1"/>
  <c r="M2227" i="1"/>
  <c r="BH2431" i="1"/>
  <c r="AD2431" i="1" s="1"/>
  <c r="M2546" i="1"/>
  <c r="BH2574" i="1"/>
  <c r="AF2574" i="1" s="1"/>
  <c r="M2582" i="1"/>
  <c r="M2589" i="1"/>
  <c r="M2640" i="1"/>
  <c r="M2683" i="1"/>
  <c r="M2692" i="1"/>
  <c r="O2745" i="1"/>
  <c r="G72" i="2" s="1"/>
  <c r="BI2799" i="1"/>
  <c r="AC2799" i="1" s="1"/>
  <c r="AV2829" i="1"/>
  <c r="F35" i="4"/>
  <c r="I35" i="4" s="1"/>
  <c r="F38" i="4"/>
  <c r="I38" i="4" s="1"/>
  <c r="M505" i="1"/>
  <c r="AX697" i="1"/>
  <c r="J862" i="1"/>
  <c r="J937" i="1"/>
  <c r="AT1170" i="1"/>
  <c r="AX1382" i="1"/>
  <c r="M1595" i="1"/>
  <c r="M1617" i="1"/>
  <c r="AX1626" i="1"/>
  <c r="AX1663" i="1"/>
  <c r="J1692" i="1"/>
  <c r="J1712" i="1"/>
  <c r="J1825" i="1"/>
  <c r="J1849" i="1"/>
  <c r="BH1874" i="1"/>
  <c r="AD1874" i="1" s="1"/>
  <c r="M1880" i="1"/>
  <c r="M1914" i="1"/>
  <c r="K1928" i="1"/>
  <c r="M1934" i="1"/>
  <c r="BH1999" i="1"/>
  <c r="BH2227" i="1"/>
  <c r="AD2227" i="1" s="1"/>
  <c r="J2231" i="1"/>
  <c r="M2236" i="1"/>
  <c r="AX2271" i="1"/>
  <c r="AW2319" i="1"/>
  <c r="AV2319" i="1" s="1"/>
  <c r="BI2404" i="1"/>
  <c r="AE2404" i="1" s="1"/>
  <c r="M2415" i="1"/>
  <c r="J2490" i="1"/>
  <c r="J2545" i="1"/>
  <c r="M2550" i="1"/>
  <c r="M2555" i="1"/>
  <c r="BI2557" i="1"/>
  <c r="AG2557" i="1" s="1"/>
  <c r="M2579" i="1"/>
  <c r="AW2582" i="1"/>
  <c r="BC2582" i="1" s="1"/>
  <c r="AW2592" i="1"/>
  <c r="J2626" i="1"/>
  <c r="AW2636" i="1"/>
  <c r="BI2643" i="1"/>
  <c r="AG2643" i="1" s="1"/>
  <c r="M2671" i="1"/>
  <c r="J2674" i="1"/>
  <c r="J2677" i="1"/>
  <c r="M2680" i="1"/>
  <c r="M2688" i="1"/>
  <c r="M2698" i="1"/>
  <c r="J2711" i="1"/>
  <c r="AV2711" i="1"/>
  <c r="BI2727" i="1"/>
  <c r="AC2727" i="1" s="1"/>
  <c r="M2797" i="1"/>
  <c r="K2845" i="1"/>
  <c r="K2844" i="1" s="1"/>
  <c r="E93" i="2" s="1"/>
  <c r="K2805" i="1"/>
  <c r="BI681" i="1"/>
  <c r="AC681" i="1" s="1"/>
  <c r="M691" i="1"/>
  <c r="M844" i="1"/>
  <c r="M1121" i="1"/>
  <c r="AX1174" i="1"/>
  <c r="M1268" i="1"/>
  <c r="J1556" i="1"/>
  <c r="M1601" i="1"/>
  <c r="AX1608" i="1"/>
  <c r="M1649" i="1"/>
  <c r="AV1675" i="1"/>
  <c r="M1681" i="1"/>
  <c r="J1709" i="1"/>
  <c r="M1724" i="1"/>
  <c r="J1763" i="1"/>
  <c r="AS1772" i="1"/>
  <c r="J1833" i="1"/>
  <c r="AW1849" i="1"/>
  <c r="AW1862" i="1"/>
  <c r="AV1862" i="1" s="1"/>
  <c r="M1924" i="1"/>
  <c r="AW1924" i="1"/>
  <c r="BC1924" i="1" s="1"/>
  <c r="BI1999" i="1"/>
  <c r="BH2032" i="1"/>
  <c r="AW2146" i="1"/>
  <c r="L2230" i="1"/>
  <c r="F60" i="2" s="1"/>
  <c r="I60" i="2" s="1"/>
  <c r="M2301" i="1"/>
  <c r="BH2322" i="1"/>
  <c r="AD2322" i="1" s="1"/>
  <c r="BI2366" i="1"/>
  <c r="AE2366" i="1" s="1"/>
  <c r="AX2429" i="1"/>
  <c r="AX2437" i="1"/>
  <c r="BH2447" i="1"/>
  <c r="AD2447" i="1" s="1"/>
  <c r="BI2461" i="1"/>
  <c r="AE2461" i="1" s="1"/>
  <c r="M2621" i="1"/>
  <c r="BI2623" i="1"/>
  <c r="AG2623" i="1" s="1"/>
  <c r="AX2651" i="1"/>
  <c r="M2657" i="1"/>
  <c r="M2663" i="1"/>
  <c r="AW2698" i="1"/>
  <c r="AW2723" i="1"/>
  <c r="BC2723" i="1" s="1"/>
  <c r="M2777" i="1"/>
  <c r="L2798" i="1"/>
  <c r="F83" i="2" s="1"/>
  <c r="I83" i="2" s="1"/>
  <c r="M2799" i="1"/>
  <c r="M2798" i="1" s="1"/>
  <c r="J2836" i="1"/>
  <c r="BF1606" i="1"/>
  <c r="AL1611" i="1"/>
  <c r="M1611" i="1"/>
  <c r="AW1636" i="1"/>
  <c r="BH1636" i="1"/>
  <c r="AD1636" i="1" s="1"/>
  <c r="M1839" i="1"/>
  <c r="AL1839" i="1"/>
  <c r="AX1872" i="1"/>
  <c r="BC1872" i="1" s="1"/>
  <c r="BI1872" i="1"/>
  <c r="AE1872" i="1" s="1"/>
  <c r="BH236" i="1"/>
  <c r="AB236" i="1" s="1"/>
  <c r="BH277" i="1"/>
  <c r="AB277" i="1" s="1"/>
  <c r="J353" i="1"/>
  <c r="M447" i="1"/>
  <c r="AX447" i="1"/>
  <c r="M525" i="1"/>
  <c r="K685" i="1"/>
  <c r="M899" i="1"/>
  <c r="J954" i="1"/>
  <c r="K962" i="1"/>
  <c r="J980" i="1"/>
  <c r="M1171" i="1"/>
  <c r="O1175" i="1"/>
  <c r="G34" i="2" s="1"/>
  <c r="BH1256" i="1"/>
  <c r="AD1256" i="1" s="1"/>
  <c r="M1297" i="1"/>
  <c r="M1377" i="1"/>
  <c r="M1572" i="1"/>
  <c r="BH1574" i="1"/>
  <c r="AD1574" i="1" s="1"/>
  <c r="M1584" i="1"/>
  <c r="M1586" i="1"/>
  <c r="K1603" i="1"/>
  <c r="AX1603" i="1"/>
  <c r="BH1625" i="1"/>
  <c r="AD1625" i="1" s="1"/>
  <c r="BI1639" i="1"/>
  <c r="AE1639" i="1" s="1"/>
  <c r="AX1639" i="1"/>
  <c r="BC1639" i="1" s="1"/>
  <c r="K364" i="1"/>
  <c r="M481" i="1"/>
  <c r="AX515" i="1"/>
  <c r="BI527" i="1"/>
  <c r="AC527" i="1" s="1"/>
  <c r="AW970" i="1"/>
  <c r="BC970" i="1" s="1"/>
  <c r="BI1173" i="1"/>
  <c r="M1185" i="1"/>
  <c r="BI1256" i="1"/>
  <c r="AE1256" i="1" s="1"/>
  <c r="AW1582" i="1"/>
  <c r="BC1582" i="1" s="1"/>
  <c r="AW1584" i="1"/>
  <c r="L1635" i="1"/>
  <c r="F45" i="2" s="1"/>
  <c r="I45" i="2" s="1"/>
  <c r="BI1655" i="1"/>
  <c r="AE1655" i="1" s="1"/>
  <c r="AX1655" i="1"/>
  <c r="AV1655" i="1" s="1"/>
  <c r="AX1709" i="1"/>
  <c r="BC1709" i="1" s="1"/>
  <c r="K1709" i="1"/>
  <c r="AL1718" i="1"/>
  <c r="J15" i="1"/>
  <c r="BI81" i="1"/>
  <c r="AC81" i="1" s="1"/>
  <c r="BI274" i="1"/>
  <c r="AC274" i="1" s="1"/>
  <c r="AX685" i="1"/>
  <c r="K697" i="1"/>
  <c r="AL859" i="1"/>
  <c r="M886" i="1"/>
  <c r="K896" i="1"/>
  <c r="AX941" i="1"/>
  <c r="BC941" i="1" s="1"/>
  <c r="O1161" i="1"/>
  <c r="G32" i="2" s="1"/>
  <c r="BI1270" i="1"/>
  <c r="AE1270" i="1" s="1"/>
  <c r="AX1554" i="1"/>
  <c r="AV1554" i="1" s="1"/>
  <c r="BI1568" i="1"/>
  <c r="AE1568" i="1" s="1"/>
  <c r="BI1603" i="1"/>
  <c r="AE1603" i="1" s="1"/>
  <c r="AT1621" i="1"/>
  <c r="BH1639" i="1"/>
  <c r="AD1639" i="1" s="1"/>
  <c r="M1646" i="1"/>
  <c r="AX1646" i="1"/>
  <c r="BC1646" i="1" s="1"/>
  <c r="AL1649" i="1"/>
  <c r="AX1652" i="1"/>
  <c r="BC1652" i="1" s="1"/>
  <c r="BI1652" i="1"/>
  <c r="AE1652" i="1" s="1"/>
  <c r="AW1718" i="1"/>
  <c r="BH1718" i="1"/>
  <c r="AD1718" i="1" s="1"/>
  <c r="BH1750" i="1"/>
  <c r="AD1750" i="1" s="1"/>
  <c r="AW1750" i="1"/>
  <c r="BC1750" i="1" s="1"/>
  <c r="J1750" i="1"/>
  <c r="BH1845" i="1"/>
  <c r="AD1845" i="1" s="1"/>
  <c r="AW1845" i="1"/>
  <c r="AV1845" i="1" s="1"/>
  <c r="BH1868" i="1"/>
  <c r="AD1868" i="1" s="1"/>
  <c r="J1868" i="1"/>
  <c r="AW1930" i="1"/>
  <c r="AV1930" i="1" s="1"/>
  <c r="J1930" i="1"/>
  <c r="O690" i="1"/>
  <c r="G27" i="2" s="1"/>
  <c r="K772" i="1"/>
  <c r="BH954" i="1"/>
  <c r="AB954" i="1" s="1"/>
  <c r="BH980" i="1"/>
  <c r="AB980" i="1" s="1"/>
  <c r="AL1311" i="1"/>
  <c r="K1376" i="1"/>
  <c r="BH1587" i="1"/>
  <c r="AD1587" i="1" s="1"/>
  <c r="AW1587" i="1"/>
  <c r="K1599" i="1"/>
  <c r="AX1599" i="1"/>
  <c r="BC1599" i="1" s="1"/>
  <c r="AX1694" i="1"/>
  <c r="BI1694" i="1"/>
  <c r="AE1694" i="1" s="1"/>
  <c r="K1694" i="1"/>
  <c r="J420" i="1"/>
  <c r="AT111" i="1"/>
  <c r="AL1268" i="1"/>
  <c r="BH1584" i="1"/>
  <c r="AD1584" i="1" s="1"/>
  <c r="M1706" i="1"/>
  <c r="AL1706" i="1"/>
  <c r="BH2018" i="1"/>
  <c r="AD2018" i="1" s="1"/>
  <c r="AW2018" i="1"/>
  <c r="BC2018" i="1" s="1"/>
  <c r="J2018" i="1"/>
  <c r="K527" i="1"/>
  <c r="J1636" i="1"/>
  <c r="J336" i="1"/>
  <c r="M584" i="1"/>
  <c r="AX130" i="1"/>
  <c r="AV130" i="1" s="1"/>
  <c r="BI269" i="1"/>
  <c r="AC269" i="1" s="1"/>
  <c r="AW273" i="1"/>
  <c r="AV273" i="1" s="1"/>
  <c r="AX278" i="1"/>
  <c r="AV278" i="1" s="1"/>
  <c r="BI284" i="1"/>
  <c r="AC284" i="1" s="1"/>
  <c r="J475" i="1"/>
  <c r="J526" i="1"/>
  <c r="M536" i="1"/>
  <c r="AX548" i="1"/>
  <c r="BC548" i="1" s="1"/>
  <c r="O657" i="1"/>
  <c r="G23" i="2" s="1"/>
  <c r="AW665" i="1"/>
  <c r="AX772" i="1"/>
  <c r="BI886" i="1"/>
  <c r="AC886" i="1" s="1"/>
  <c r="M921" i="1"/>
  <c r="AX1137" i="1"/>
  <c r="AX1239" i="1"/>
  <c r="AW1264" i="1"/>
  <c r="AX1376" i="1"/>
  <c r="AV1376" i="1" s="1"/>
  <c r="M1380" i="1"/>
  <c r="M1557" i="1"/>
  <c r="AW1571" i="1"/>
  <c r="M1573" i="1"/>
  <c r="AL1581" i="1"/>
  <c r="M1587" i="1"/>
  <c r="AX1587" i="1"/>
  <c r="J1640" i="1"/>
  <c r="AW1661" i="1"/>
  <c r="J1661" i="1"/>
  <c r="AW1663" i="1"/>
  <c r="BH1663" i="1"/>
  <c r="AD1663" i="1" s="1"/>
  <c r="AW1704" i="1"/>
  <c r="AV1704" i="1" s="1"/>
  <c r="J1704" i="1"/>
  <c r="AW1716" i="1"/>
  <c r="AV1716" i="1" s="1"/>
  <c r="BH1716" i="1"/>
  <c r="AD1716" i="1" s="1"/>
  <c r="K284" i="1"/>
  <c r="O111" i="1"/>
  <c r="G16" i="2" s="1"/>
  <c r="J273" i="1"/>
  <c r="AT361" i="1"/>
  <c r="J413" i="1"/>
  <c r="K665" i="1"/>
  <c r="K664" i="1" s="1"/>
  <c r="E24" i="2" s="1"/>
  <c r="AW76" i="1"/>
  <c r="AV76" i="1" s="1"/>
  <c r="O75" i="1"/>
  <c r="G14" i="2" s="1"/>
  <c r="BI151" i="1"/>
  <c r="AC151" i="1" s="1"/>
  <c r="AW336" i="1"/>
  <c r="AV336" i="1" s="1"/>
  <c r="BH384" i="1"/>
  <c r="AB384" i="1" s="1"/>
  <c r="AW413" i="1"/>
  <c r="AV413" i="1" s="1"/>
  <c r="AW475" i="1"/>
  <c r="AX526" i="1"/>
  <c r="K650" i="1"/>
  <c r="BH651" i="1"/>
  <c r="AB651" i="1" s="1"/>
  <c r="K658" i="1"/>
  <c r="K657" i="1" s="1"/>
  <c r="E23" i="2" s="1"/>
  <c r="AX665" i="1"/>
  <c r="AL687" i="1"/>
  <c r="J958" i="1"/>
  <c r="J966" i="1"/>
  <c r="K993" i="1"/>
  <c r="BI1168" i="1"/>
  <c r="AC1168" i="1" s="1"/>
  <c r="AW1174" i="1"/>
  <c r="AX1192" i="1"/>
  <c r="AX1264" i="1"/>
  <c r="AL1355" i="1"/>
  <c r="AX1562" i="1"/>
  <c r="AV1562" i="1" s="1"/>
  <c r="AX1571" i="1"/>
  <c r="BH1576" i="1"/>
  <c r="AD1576" i="1" s="1"/>
  <c r="BH1599" i="1"/>
  <c r="AD1599" i="1" s="1"/>
  <c r="AX1602" i="1"/>
  <c r="BI1602" i="1"/>
  <c r="AE1602" i="1" s="1"/>
  <c r="M1605" i="1"/>
  <c r="BH1618" i="1"/>
  <c r="AD1618" i="1" s="1"/>
  <c r="AX1634" i="1"/>
  <c r="AV1634" i="1" s="1"/>
  <c r="AW1640" i="1"/>
  <c r="K1707" i="1"/>
  <c r="AX1707" i="1"/>
  <c r="BC1707" i="1" s="1"/>
  <c r="BH1892" i="1"/>
  <c r="AD1892" i="1" s="1"/>
  <c r="AW1892" i="1"/>
  <c r="AV1892" i="1" s="1"/>
  <c r="BH1900" i="1"/>
  <c r="AD1900" i="1" s="1"/>
  <c r="AW1900" i="1"/>
  <c r="BC1900" i="1" s="1"/>
  <c r="BH1906" i="1"/>
  <c r="AD1906" i="1" s="1"/>
  <c r="AW1906" i="1"/>
  <c r="AV1906" i="1" s="1"/>
  <c r="J1906" i="1"/>
  <c r="AL1952" i="1"/>
  <c r="M1952" i="1"/>
  <c r="J223" i="1"/>
  <c r="M520" i="1"/>
  <c r="M639" i="1"/>
  <c r="BI862" i="1"/>
  <c r="AC862" i="1" s="1"/>
  <c r="M975" i="1"/>
  <c r="M1259" i="1"/>
  <c r="AX1585" i="1"/>
  <c r="BC1585" i="1" s="1"/>
  <c r="BI1585" i="1"/>
  <c r="AE1585" i="1" s="1"/>
  <c r="BI1632" i="1"/>
  <c r="AE1632" i="1" s="1"/>
  <c r="AX1632" i="1"/>
  <c r="AX1644" i="1"/>
  <c r="BC1644" i="1" s="1"/>
  <c r="BI1644" i="1"/>
  <c r="AE1644" i="1" s="1"/>
  <c r="K1644" i="1"/>
  <c r="M1678" i="1"/>
  <c r="AL1678" i="1"/>
  <c r="BH1864" i="1"/>
  <c r="AD1864" i="1" s="1"/>
  <c r="AW1864" i="1"/>
  <c r="J1864" i="1"/>
  <c r="BH548" i="1"/>
  <c r="AB548" i="1" s="1"/>
  <c r="BH772" i="1"/>
  <c r="AB772" i="1" s="1"/>
  <c r="O1133" i="1"/>
  <c r="G31" i="2" s="1"/>
  <c r="K1600" i="1"/>
  <c r="AX1600" i="1"/>
  <c r="AX1686" i="1"/>
  <c r="BI1686" i="1"/>
  <c r="AE1686" i="1" s="1"/>
  <c r="M1763" i="1"/>
  <c r="AL1763" i="1"/>
  <c r="M2003" i="1"/>
  <c r="AL2003" i="1"/>
  <c r="K1556" i="1"/>
  <c r="K1568" i="1"/>
  <c r="BH278" i="1"/>
  <c r="AB278" i="1" s="1"/>
  <c r="BI278" i="1"/>
  <c r="AC278" i="1" s="1"/>
  <c r="O14" i="1"/>
  <c r="G13" i="2" s="1"/>
  <c r="BI76" i="1"/>
  <c r="AC76" i="1" s="1"/>
  <c r="AV236" i="1"/>
  <c r="AV277" i="1"/>
  <c r="M429" i="1"/>
  <c r="M467" i="1"/>
  <c r="J860" i="1"/>
  <c r="BI945" i="1"/>
  <c r="AC945" i="1" s="1"/>
  <c r="BI975" i="1"/>
  <c r="AC975" i="1" s="1"/>
  <c r="BF1134" i="1"/>
  <c r="M1138" i="1"/>
  <c r="O1170" i="1"/>
  <c r="G33" i="2" s="1"/>
  <c r="M1262" i="1"/>
  <c r="M1339" i="1"/>
  <c r="J1382" i="1"/>
  <c r="M1558" i="1"/>
  <c r="AX1560" i="1"/>
  <c r="BC1560" i="1" s="1"/>
  <c r="BH1562" i="1"/>
  <c r="AD1562" i="1" s="1"/>
  <c r="BH1585" i="1"/>
  <c r="AD1585" i="1" s="1"/>
  <c r="AW1591" i="1"/>
  <c r="M1614" i="1"/>
  <c r="AS1635" i="1"/>
  <c r="M1686" i="1"/>
  <c r="AX1692" i="1"/>
  <c r="BC1692" i="1" s="1"/>
  <c r="K1692" i="1"/>
  <c r="BI1692" i="1"/>
  <c r="AE1692" i="1" s="1"/>
  <c r="AX1737" i="1"/>
  <c r="AV1737" i="1" s="1"/>
  <c r="K1737" i="1"/>
  <c r="BI1737" i="1"/>
  <c r="AE1737" i="1" s="1"/>
  <c r="O1818" i="1"/>
  <c r="G53" i="2" s="1"/>
  <c r="BF1830" i="1"/>
  <c r="BH1839" i="1"/>
  <c r="AD1839" i="1" s="1"/>
  <c r="AW1839" i="1"/>
  <c r="BC1839" i="1" s="1"/>
  <c r="J1839" i="1"/>
  <c r="AX1973" i="1"/>
  <c r="K1973" i="1"/>
  <c r="K180" i="1"/>
  <c r="BC349" i="1"/>
  <c r="AX650" i="1"/>
  <c r="BH270" i="1"/>
  <c r="AB270" i="1" s="1"/>
  <c r="BH298" i="1"/>
  <c r="AB298" i="1" s="1"/>
  <c r="M510" i="1"/>
  <c r="AL525" i="1"/>
  <c r="M528" i="1"/>
  <c r="AW654" i="1"/>
  <c r="BC654" i="1" s="1"/>
  <c r="BI658" i="1"/>
  <c r="AC658" i="1" s="1"/>
  <c r="M701" i="1"/>
  <c r="M867" i="1"/>
  <c r="AX867" i="1"/>
  <c r="K899" i="1"/>
  <c r="M1160" i="1"/>
  <c r="AT1161" i="1"/>
  <c r="M1179" i="1"/>
  <c r="AW1205" i="1"/>
  <c r="BC1205" i="1" s="1"/>
  <c r="AW1382" i="1"/>
  <c r="BI1600" i="1"/>
  <c r="AE1600" i="1" s="1"/>
  <c r="AL1609" i="1"/>
  <c r="K1664" i="1"/>
  <c r="AX1664" i="1"/>
  <c r="AW1688" i="1"/>
  <c r="J1688" i="1"/>
  <c r="M1692" i="1"/>
  <c r="AL1692" i="1"/>
  <c r="AX1698" i="1"/>
  <c r="BI1698" i="1"/>
  <c r="AE1698" i="1" s="1"/>
  <c r="AL1973" i="1"/>
  <c r="M1973" i="1"/>
  <c r="M1830" i="1"/>
  <c r="M1832" i="1"/>
  <c r="AW1832" i="1"/>
  <c r="BC1832" i="1" s="1"/>
  <c r="BI1833" i="1"/>
  <c r="AE1833" i="1" s="1"/>
  <c r="BH1901" i="1"/>
  <c r="AD1901" i="1" s="1"/>
  <c r="BH1903" i="1"/>
  <c r="AD1903" i="1" s="1"/>
  <c r="BI2144" i="1"/>
  <c r="AE2144" i="1" s="1"/>
  <c r="M2254" i="1"/>
  <c r="BI2346" i="1"/>
  <c r="AE2346" i="1" s="1"/>
  <c r="J2366" i="1"/>
  <c r="BH2385" i="1"/>
  <c r="AD2385" i="1" s="1"/>
  <c r="BH2402" i="1"/>
  <c r="AD2402" i="1" s="1"/>
  <c r="J2661" i="1"/>
  <c r="BH2661" i="1"/>
  <c r="AF2661" i="1" s="1"/>
  <c r="AW2661" i="1"/>
  <c r="AV2661" i="1" s="1"/>
  <c r="AV2765" i="1"/>
  <c r="BC2765" i="1"/>
  <c r="AW2390" i="1"/>
  <c r="BH2390" i="1"/>
  <c r="AD2390" i="1" s="1"/>
  <c r="BH2476" i="1"/>
  <c r="AD2476" i="1" s="1"/>
  <c r="AW2476" i="1"/>
  <c r="AX2652" i="1"/>
  <c r="BI2652" i="1"/>
  <c r="AG2652" i="1" s="1"/>
  <c r="AL2704" i="1"/>
  <c r="M2704" i="1"/>
  <c r="AV2807" i="1"/>
  <c r="BC2807" i="1"/>
  <c r="BH1985" i="1"/>
  <c r="AD1985" i="1" s="1"/>
  <c r="M2151" i="1"/>
  <c r="M2317" i="1"/>
  <c r="J2328" i="1"/>
  <c r="BC2328" i="1"/>
  <c r="J2340" i="1"/>
  <c r="BH2356" i="1"/>
  <c r="AD2356" i="1" s="1"/>
  <c r="AW2676" i="1"/>
  <c r="BH2676" i="1"/>
  <c r="AF2676" i="1" s="1"/>
  <c r="M1663" i="1"/>
  <c r="BC1682" i="1"/>
  <c r="K1722" i="1"/>
  <c r="J1728" i="1"/>
  <c r="J1752" i="1"/>
  <c r="J1808" i="1"/>
  <c r="J1834" i="1"/>
  <c r="J1836" i="1"/>
  <c r="J1852" i="1"/>
  <c r="M1854" i="1"/>
  <c r="M1868" i="1"/>
  <c r="J1888" i="1"/>
  <c r="M1892" i="1"/>
  <c r="M1900" i="1"/>
  <c r="J1904" i="1"/>
  <c r="M1906" i="1"/>
  <c r="BI1907" i="1"/>
  <c r="AE1907" i="1" s="1"/>
  <c r="BI1911" i="1"/>
  <c r="AE1911" i="1" s="1"/>
  <c r="BI1915" i="1"/>
  <c r="AE1915" i="1" s="1"/>
  <c r="BI1966" i="1"/>
  <c r="AE1966" i="1" s="1"/>
  <c r="J2146" i="1"/>
  <c r="BI2228" i="1"/>
  <c r="AE2228" i="1" s="1"/>
  <c r="BH2288" i="1"/>
  <c r="AD2288" i="1" s="1"/>
  <c r="K2340" i="1"/>
  <c r="BI2399" i="1"/>
  <c r="BI2408" i="1"/>
  <c r="K2424" i="1"/>
  <c r="AX2424" i="1"/>
  <c r="J2457" i="1"/>
  <c r="BI2480" i="1"/>
  <c r="AE2480" i="1" s="1"/>
  <c r="BH2508" i="1"/>
  <c r="AD2508" i="1" s="1"/>
  <c r="AW2508" i="1"/>
  <c r="AV2508" i="1" s="1"/>
  <c r="AW1808" i="1"/>
  <c r="AW1821" i="1"/>
  <c r="BC1821" i="1" s="1"/>
  <c r="AW1823" i="1"/>
  <c r="AW1834" i="1"/>
  <c r="AW1854" i="1"/>
  <c r="AV1854" i="1" s="1"/>
  <c r="AW1880" i="1"/>
  <c r="AV1880" i="1" s="1"/>
  <c r="AL1948" i="1"/>
  <c r="BH2328" i="1"/>
  <c r="AD2328" i="1" s="1"/>
  <c r="BH2366" i="1"/>
  <c r="AD2366" i="1" s="1"/>
  <c r="AW2409" i="1"/>
  <c r="AV2409" i="1" s="1"/>
  <c r="J2409" i="1"/>
  <c r="AL2471" i="1"/>
  <c r="M2471" i="1"/>
  <c r="BI2650" i="1"/>
  <c r="AG2650" i="1" s="1"/>
  <c r="AX2650" i="1"/>
  <c r="BC2650" i="1" s="1"/>
  <c r="J2665" i="1"/>
  <c r="BH2665" i="1"/>
  <c r="AF2665" i="1" s="1"/>
  <c r="AW2665" i="1"/>
  <c r="BI1718" i="1"/>
  <c r="AE1718" i="1" s="1"/>
  <c r="BH1724" i="1"/>
  <c r="AD1724" i="1" s="1"/>
  <c r="M1760" i="1"/>
  <c r="J1764" i="1"/>
  <c r="J1876" i="1"/>
  <c r="J1895" i="1"/>
  <c r="J2249" i="1"/>
  <c r="BH2306" i="1"/>
  <c r="AD2306" i="1" s="1"/>
  <c r="AX2314" i="1"/>
  <c r="AV2314" i="1" s="1"/>
  <c r="AX2395" i="1"/>
  <c r="BI2395" i="1"/>
  <c r="AE2395" i="1" s="1"/>
  <c r="AX2411" i="1"/>
  <c r="K2411" i="1"/>
  <c r="AW2542" i="1"/>
  <c r="BC2542" i="1" s="1"/>
  <c r="BH2542" i="1"/>
  <c r="AF2542" i="1" s="1"/>
  <c r="M2600" i="1"/>
  <c r="BH2648" i="1"/>
  <c r="AF2648" i="1" s="1"/>
  <c r="AW2648" i="1"/>
  <c r="O2842" i="1"/>
  <c r="G92" i="2" s="1"/>
  <c r="BF2843" i="1"/>
  <c r="BH1652" i="1"/>
  <c r="AD1652" i="1" s="1"/>
  <c r="BI1716" i="1"/>
  <c r="AE1716" i="1" s="1"/>
  <c r="AX1722" i="1"/>
  <c r="AV1722" i="1" s="1"/>
  <c r="BI1724" i="1"/>
  <c r="AE1724" i="1" s="1"/>
  <c r="AX1728" i="1"/>
  <c r="AV1728" i="1" s="1"/>
  <c r="M1743" i="1"/>
  <c r="M1746" i="1"/>
  <c r="M1758" i="1"/>
  <c r="AW1764" i="1"/>
  <c r="AV1764" i="1" s="1"/>
  <c r="O1782" i="1"/>
  <c r="G52" i="2" s="1"/>
  <c r="BF1783" i="1"/>
  <c r="AW1829" i="1"/>
  <c r="BC1829" i="1" s="1"/>
  <c r="J1831" i="1"/>
  <c r="AW1836" i="1"/>
  <c r="BC1836" i="1" s="1"/>
  <c r="BI1892" i="1"/>
  <c r="AE1892" i="1" s="1"/>
  <c r="M1897" i="1"/>
  <c r="M1908" i="1"/>
  <c r="J1932" i="1"/>
  <c r="J1969" i="1"/>
  <c r="J1976" i="1"/>
  <c r="AW2029" i="1"/>
  <c r="BC2029" i="1" s="1"/>
  <c r="J2227" i="1"/>
  <c r="J2226" i="1" s="1"/>
  <c r="D59" i="2" s="1"/>
  <c r="M2262" i="1"/>
  <c r="M2268" i="1"/>
  <c r="AW2280" i="1"/>
  <c r="AV2280" i="1" s="1"/>
  <c r="M2320" i="1"/>
  <c r="AX2320" i="1"/>
  <c r="BC2320" i="1" s="1"/>
  <c r="J2357" i="1"/>
  <c r="AX2812" i="1"/>
  <c r="BC2812" i="1" s="1"/>
  <c r="K2812" i="1"/>
  <c r="M1624" i="1"/>
  <c r="M1669" i="1"/>
  <c r="M1709" i="1"/>
  <c r="J1727" i="1"/>
  <c r="BI1736" i="1"/>
  <c r="AE1736" i="1" s="1"/>
  <c r="BH1770" i="1"/>
  <c r="AD1770" i="1" s="1"/>
  <c r="BI1783" i="1"/>
  <c r="AE1783" i="1" s="1"/>
  <c r="AT1782" i="1"/>
  <c r="BI1821" i="1"/>
  <c r="AE1821" i="1" s="1"/>
  <c r="K1833" i="1"/>
  <c r="AW1838" i="1"/>
  <c r="AV1838" i="1" s="1"/>
  <c r="J1842" i="1"/>
  <c r="BI1847" i="1"/>
  <c r="AE1847" i="1" s="1"/>
  <c r="M1851" i="1"/>
  <c r="AV1851" i="1"/>
  <c r="BI1854" i="1"/>
  <c r="AE1854" i="1" s="1"/>
  <c r="J1870" i="1"/>
  <c r="BI1880" i="1"/>
  <c r="AE1880" i="1" s="1"/>
  <c r="BI1906" i="1"/>
  <c r="AE1906" i="1" s="1"/>
  <c r="AW1914" i="1"/>
  <c r="AV1914" i="1" s="1"/>
  <c r="M1916" i="1"/>
  <c r="AW1932" i="1"/>
  <c r="BC1932" i="1" s="1"/>
  <c r="AX1988" i="1"/>
  <c r="AW2001" i="1"/>
  <c r="BH2221" i="1"/>
  <c r="AD2221" i="1" s="1"/>
  <c r="AW2229" i="1"/>
  <c r="AV2229" i="1" s="1"/>
  <c r="BI2268" i="1"/>
  <c r="AE2268" i="1" s="1"/>
  <c r="AX2286" i="1"/>
  <c r="BH2324" i="1"/>
  <c r="AD2324" i="1" s="1"/>
  <c r="J2330" i="1"/>
  <c r="K2391" i="1"/>
  <c r="AX2420" i="1"/>
  <c r="BI2487" i="1"/>
  <c r="AE2487" i="1" s="1"/>
  <c r="AX2487" i="1"/>
  <c r="AX2515" i="1"/>
  <c r="M2695" i="1"/>
  <c r="J1719" i="1"/>
  <c r="K1721" i="1"/>
  <c r="M1754" i="1"/>
  <c r="AL1824" i="1"/>
  <c r="M1833" i="1"/>
  <c r="BH1897" i="1"/>
  <c r="AD1897" i="1" s="1"/>
  <c r="M1982" i="1"/>
  <c r="BC2346" i="1"/>
  <c r="J2485" i="1"/>
  <c r="AW2485" i="1"/>
  <c r="BI2646" i="1"/>
  <c r="AG2646" i="1" s="1"/>
  <c r="AX2646" i="1"/>
  <c r="AT1701" i="1"/>
  <c r="M1715" i="1"/>
  <c r="M1721" i="1"/>
  <c r="BH1722" i="1"/>
  <c r="AD1722" i="1" s="1"/>
  <c r="M1753" i="1"/>
  <c r="M1863" i="1"/>
  <c r="J1886" i="1"/>
  <c r="BI1897" i="1"/>
  <c r="AE1897" i="1" s="1"/>
  <c r="BH1976" i="1"/>
  <c r="AD1976" i="1" s="1"/>
  <c r="BI2029" i="1"/>
  <c r="AE2029" i="1" s="1"/>
  <c r="AS2235" i="1"/>
  <c r="J2264" i="1"/>
  <c r="BC2326" i="1"/>
  <c r="AX2426" i="1"/>
  <c r="BI2426" i="1"/>
  <c r="AE2426" i="1" s="1"/>
  <c r="AW2488" i="1"/>
  <c r="J2488" i="1"/>
  <c r="BH2596" i="1"/>
  <c r="AF2596" i="1" s="1"/>
  <c r="AW2596" i="1"/>
  <c r="BC2596" i="1" s="1"/>
  <c r="BH2803" i="1"/>
  <c r="AB2803" i="1" s="1"/>
  <c r="J2803" i="1"/>
  <c r="AW2803" i="1"/>
  <c r="BH1596" i="1"/>
  <c r="AD1596" i="1" s="1"/>
  <c r="M1600" i="1"/>
  <c r="K1608" i="1"/>
  <c r="M1660" i="1"/>
  <c r="BH1715" i="1"/>
  <c r="AD1715" i="1" s="1"/>
  <c r="M1749" i="1"/>
  <c r="J1757" i="1"/>
  <c r="J1759" i="1"/>
  <c r="M1762" i="1"/>
  <c r="J1767" i="1"/>
  <c r="M1769" i="1"/>
  <c r="M1811" i="1"/>
  <c r="AW1820" i="1"/>
  <c r="BC1820" i="1" s="1"/>
  <c r="AW1822" i="1"/>
  <c r="J1828" i="1"/>
  <c r="M1829" i="1"/>
  <c r="AW1835" i="1"/>
  <c r="BI1836" i="1"/>
  <c r="AE1836" i="1" s="1"/>
  <c r="J1855" i="1"/>
  <c r="M1874" i="1"/>
  <c r="AW1878" i="1"/>
  <c r="BC1878" i="1" s="1"/>
  <c r="J1882" i="1"/>
  <c r="M1886" i="1"/>
  <c r="AW1886" i="1"/>
  <c r="BC1886" i="1" s="1"/>
  <c r="J1907" i="1"/>
  <c r="K1926" i="1"/>
  <c r="AT2235" i="1"/>
  <c r="L2235" i="1"/>
  <c r="F61" i="2" s="1"/>
  <c r="I61" i="2" s="1"/>
  <c r="M2290" i="1"/>
  <c r="BI2330" i="1"/>
  <c r="AE2330" i="1" s="1"/>
  <c r="J2338" i="1"/>
  <c r="J2358" i="1"/>
  <c r="BH2387" i="1"/>
  <c r="AD2387" i="1" s="1"/>
  <c r="BI2391" i="1"/>
  <c r="AE2391" i="1" s="1"/>
  <c r="J2399" i="1"/>
  <c r="M2465" i="1"/>
  <c r="AL2465" i="1"/>
  <c r="BH2532" i="1"/>
  <c r="AD2532" i="1" s="1"/>
  <c r="J2532" i="1"/>
  <c r="O2850" i="1"/>
  <c r="BF2851" i="1"/>
  <c r="M1651" i="1"/>
  <c r="AX1671" i="1"/>
  <c r="M1675" i="1"/>
  <c r="AX1688" i="1"/>
  <c r="BH1721" i="1"/>
  <c r="AD1721" i="1" s="1"/>
  <c r="BH1727" i="1"/>
  <c r="AD1727" i="1" s="1"/>
  <c r="M1751" i="1"/>
  <c r="M1755" i="1"/>
  <c r="AW1755" i="1"/>
  <c r="BC1755" i="1" s="1"/>
  <c r="M1757" i="1"/>
  <c r="M1759" i="1"/>
  <c r="M1767" i="1"/>
  <c r="AW1767" i="1"/>
  <c r="AW1771" i="1"/>
  <c r="AV1771" i="1" s="1"/>
  <c r="AW1824" i="1"/>
  <c r="BC1824" i="1" s="1"/>
  <c r="M1826" i="1"/>
  <c r="BH1840" i="1"/>
  <c r="AD1840" i="1" s="1"/>
  <c r="M1848" i="1"/>
  <c r="AW1850" i="1"/>
  <c r="BC1850" i="1" s="1"/>
  <c r="AW1855" i="1"/>
  <c r="AV1911" i="1"/>
  <c r="M1912" i="1"/>
  <c r="M1926" i="1"/>
  <c r="M1932" i="1"/>
  <c r="M1969" i="1"/>
  <c r="M2304" i="1"/>
  <c r="BI2326" i="1"/>
  <c r="AE2326" i="1" s="1"/>
  <c r="K2358" i="1"/>
  <c r="BI2387" i="1"/>
  <c r="AE2387" i="1" s="1"/>
  <c r="K2412" i="1"/>
  <c r="K2434" i="1"/>
  <c r="BI2434" i="1"/>
  <c r="AE2434" i="1" s="1"/>
  <c r="AX2434" i="1"/>
  <c r="AV2434" i="1" s="1"/>
  <c r="K2655" i="1"/>
  <c r="BI2655" i="1"/>
  <c r="AG2655" i="1" s="1"/>
  <c r="AX2655" i="1"/>
  <c r="J2704" i="1"/>
  <c r="BH2704" i="1"/>
  <c r="AF2704" i="1" s="1"/>
  <c r="AW2704" i="1"/>
  <c r="M2547" i="1"/>
  <c r="BH2589" i="1"/>
  <c r="AF2589" i="1" s="1"/>
  <c r="M2510" i="1"/>
  <c r="M2538" i="1"/>
  <c r="M2558" i="1"/>
  <c r="J2607" i="1"/>
  <c r="AX2657" i="1"/>
  <c r="BC2657" i="1" s="1"/>
  <c r="M2665" i="1"/>
  <c r="AX2702" i="1"/>
  <c r="BI2756" i="1"/>
  <c r="AE2756" i="1" s="1"/>
  <c r="M2786" i="1"/>
  <c r="O2811" i="1"/>
  <c r="G85" i="2" s="1"/>
  <c r="G95" i="2"/>
  <c r="M2457" i="1"/>
  <c r="J2460" i="1"/>
  <c r="BH2483" i="1"/>
  <c r="AD2483" i="1" s="1"/>
  <c r="J2493" i="1"/>
  <c r="J2514" i="1"/>
  <c r="AW2521" i="1"/>
  <c r="AW2538" i="1"/>
  <c r="BC2538" i="1" s="1"/>
  <c r="AW2546" i="1"/>
  <c r="AV2546" i="1" s="1"/>
  <c r="M2574" i="1"/>
  <c r="AW2588" i="1"/>
  <c r="BC2588" i="1" s="1"/>
  <c r="BI2597" i="1"/>
  <c r="AG2597" i="1" s="1"/>
  <c r="M2603" i="1"/>
  <c r="M2607" i="1"/>
  <c r="AW2607" i="1"/>
  <c r="M2609" i="1"/>
  <c r="AW2609" i="1"/>
  <c r="M2613" i="1"/>
  <c r="K2615" i="1"/>
  <c r="J2619" i="1"/>
  <c r="M2620" i="1"/>
  <c r="M2622" i="1"/>
  <c r="BH2623" i="1"/>
  <c r="AF2623" i="1" s="1"/>
  <c r="BH2627" i="1"/>
  <c r="AF2627" i="1" s="1"/>
  <c r="K2634" i="1"/>
  <c r="J2659" i="1"/>
  <c r="AX2665" i="1"/>
  <c r="M2686" i="1"/>
  <c r="K2708" i="1"/>
  <c r="J2710" i="1"/>
  <c r="BI2712" i="1"/>
  <c r="AG2712" i="1" s="1"/>
  <c r="J2715" i="1"/>
  <c r="M2727" i="1"/>
  <c r="M2753" i="1"/>
  <c r="M2752" i="1" s="1"/>
  <c r="J2797" i="1"/>
  <c r="M2805" i="1"/>
  <c r="AW2809" i="1"/>
  <c r="AW2493" i="1"/>
  <c r="AV2493" i="1" s="1"/>
  <c r="M2562" i="1"/>
  <c r="AW2567" i="1"/>
  <c r="AV2567" i="1" s="1"/>
  <c r="K2619" i="1"/>
  <c r="AW2632" i="1"/>
  <c r="AV2632" i="1" s="1"/>
  <c r="L2719" i="1"/>
  <c r="F68" i="2" s="1"/>
  <c r="I68" i="2" s="1"/>
  <c r="M2756" i="1"/>
  <c r="K2823" i="1"/>
  <c r="BF2838" i="1"/>
  <c r="BH2801" i="1"/>
  <c r="AB2801" i="1" s="1"/>
  <c r="AX2803" i="1"/>
  <c r="AX2809" i="1"/>
  <c r="BI2542" i="1"/>
  <c r="AG2542" i="1" s="1"/>
  <c r="J2555" i="1"/>
  <c r="AV2557" i="1"/>
  <c r="BH2579" i="1"/>
  <c r="AF2579" i="1" s="1"/>
  <c r="M2583" i="1"/>
  <c r="J2585" i="1"/>
  <c r="M2594" i="1"/>
  <c r="BI2596" i="1"/>
  <c r="AG2596" i="1" s="1"/>
  <c r="J2600" i="1"/>
  <c r="AL2600" i="1"/>
  <c r="BH2644" i="1"/>
  <c r="AF2644" i="1" s="1"/>
  <c r="AL2673" i="1"/>
  <c r="M2676" i="1"/>
  <c r="AV2677" i="1"/>
  <c r="M2682" i="1"/>
  <c r="J2695" i="1"/>
  <c r="AL2695" i="1"/>
  <c r="BH2727" i="1"/>
  <c r="AB2727" i="1" s="1"/>
  <c r="BI2765" i="1"/>
  <c r="AC2765" i="1" s="1"/>
  <c r="O2828" i="1"/>
  <c r="G87" i="2" s="1"/>
  <c r="J2835" i="1"/>
  <c r="O2834" i="1"/>
  <c r="G89" i="2" s="1"/>
  <c r="M2674" i="1"/>
  <c r="O2844" i="1"/>
  <c r="G93" i="2" s="1"/>
  <c r="BF2848" i="1"/>
  <c r="AV2805" i="1"/>
  <c r="AX2511" i="1"/>
  <c r="K2535" i="1"/>
  <c r="M2545" i="1"/>
  <c r="AV2545" i="1"/>
  <c r="J2604" i="1"/>
  <c r="K2606" i="1"/>
  <c r="AX2619" i="1"/>
  <c r="BC2619" i="1" s="1"/>
  <c r="M2701" i="1"/>
  <c r="AT2725" i="1"/>
  <c r="M2783" i="1"/>
  <c r="J2826" i="1"/>
  <c r="M2435" i="1"/>
  <c r="K2547" i="1"/>
  <c r="AL2568" i="1"/>
  <c r="M2585" i="1"/>
  <c r="J2597" i="1"/>
  <c r="M2598" i="1"/>
  <c r="AW2600" i="1"/>
  <c r="BC2600" i="1" s="1"/>
  <c r="AW2608" i="1"/>
  <c r="AV2608" i="1" s="1"/>
  <c r="AW2614" i="1"/>
  <c r="BC2614" i="1" s="1"/>
  <c r="J2621" i="1"/>
  <c r="AL2621" i="1"/>
  <c r="BI2626" i="1"/>
  <c r="AG2626" i="1" s="1"/>
  <c r="M2631" i="1"/>
  <c r="AX2656" i="1"/>
  <c r="BC2656" i="1" s="1"/>
  <c r="M2662" i="1"/>
  <c r="AW2671" i="1"/>
  <c r="AV2671" i="1" s="1"/>
  <c r="J2683" i="1"/>
  <c r="AL2683" i="1"/>
  <c r="M2697" i="1"/>
  <c r="J2705" i="1"/>
  <c r="AS2719" i="1"/>
  <c r="M2744" i="1"/>
  <c r="AX2744" i="1"/>
  <c r="K2756" i="1"/>
  <c r="M2816" i="1"/>
  <c r="AX2816" i="1"/>
  <c r="J2821" i="1"/>
  <c r="AX2823" i="1"/>
  <c r="K2826" i="1"/>
  <c r="AW2835" i="1"/>
  <c r="AV2835" i="1" s="1"/>
  <c r="O2839" i="1"/>
  <c r="G91" i="2" s="1"/>
  <c r="J2809" i="1"/>
  <c r="M2549" i="1"/>
  <c r="M2666" i="1"/>
  <c r="M2711" i="1"/>
  <c r="K2803" i="1"/>
  <c r="K2809" i="1"/>
  <c r="M2495" i="1"/>
  <c r="M2507" i="1"/>
  <c r="M2539" i="1"/>
  <c r="BI2541" i="1"/>
  <c r="AG2541" i="1" s="1"/>
  <c r="BI2578" i="1"/>
  <c r="AG2578" i="1" s="1"/>
  <c r="M2610" i="1"/>
  <c r="M2612" i="1"/>
  <c r="BC2627" i="1"/>
  <c r="M2639" i="1"/>
  <c r="M2691" i="1"/>
  <c r="BH2695" i="1"/>
  <c r="AF2695" i="1" s="1"/>
  <c r="J2714" i="1"/>
  <c r="BF2769" i="1"/>
  <c r="J2851" i="1"/>
  <c r="M2422" i="1"/>
  <c r="BH2453" i="1"/>
  <c r="AD2453" i="1" s="1"/>
  <c r="M2483" i="1"/>
  <c r="M2504" i="1"/>
  <c r="AW2515" i="1"/>
  <c r="BI2545" i="1"/>
  <c r="AG2545" i="1" s="1"/>
  <c r="AW2568" i="1"/>
  <c r="M2570" i="1"/>
  <c r="M2580" i="1"/>
  <c r="J2588" i="1"/>
  <c r="AW2591" i="1"/>
  <c r="BC2591" i="1" s="1"/>
  <c r="AW2597" i="1"/>
  <c r="BC2597" i="1" s="1"/>
  <c r="BH2612" i="1"/>
  <c r="AF2612" i="1" s="1"/>
  <c r="BI2614" i="1"/>
  <c r="AG2614" i="1" s="1"/>
  <c r="J2618" i="1"/>
  <c r="M2623" i="1"/>
  <c r="J2625" i="1"/>
  <c r="M2637" i="1"/>
  <c r="AL2657" i="1"/>
  <c r="BH2662" i="1"/>
  <c r="AF2662" i="1" s="1"/>
  <c r="AW2683" i="1"/>
  <c r="M2707" i="1"/>
  <c r="AX2709" i="1"/>
  <c r="M2714" i="1"/>
  <c r="J2720" i="1"/>
  <c r="J2719" i="1" s="1"/>
  <c r="D68" i="2" s="1"/>
  <c r="AX2729" i="1"/>
  <c r="AV2729" i="1" s="1"/>
  <c r="AW2756" i="1"/>
  <c r="BC2756" i="1" s="1"/>
  <c r="AW2826" i="1"/>
  <c r="AV2826" i="1" s="1"/>
  <c r="L2837" i="1"/>
  <c r="F90" i="2" s="1"/>
  <c r="I90" i="2" s="1"/>
  <c r="AX2851" i="1"/>
  <c r="AV2851" i="1" s="1"/>
  <c r="M2803" i="1"/>
  <c r="M2809" i="1"/>
  <c r="M2845" i="1"/>
  <c r="M2844" i="1" s="1"/>
  <c r="AL2845" i="1"/>
  <c r="AU2844" i="1" s="1"/>
  <c r="AT2839" i="1"/>
  <c r="BI2845" i="1"/>
  <c r="AS2839" i="1"/>
  <c r="BH2841" i="1"/>
  <c r="M2841" i="1"/>
  <c r="AW2841" i="1"/>
  <c r="AU2839" i="1"/>
  <c r="AV2840" i="1"/>
  <c r="AV2832" i="1"/>
  <c r="BH2832" i="1"/>
  <c r="BH15" i="1"/>
  <c r="AB15" i="1" s="1"/>
  <c r="BI15" i="1"/>
  <c r="AC15" i="1" s="1"/>
  <c r="AT14" i="1"/>
  <c r="K2851" i="1"/>
  <c r="AW2852" i="1"/>
  <c r="AV2852" i="1" s="1"/>
  <c r="BH2851" i="1"/>
  <c r="AF2851" i="1" s="1"/>
  <c r="M2848" i="1"/>
  <c r="M2847" i="1" s="1"/>
  <c r="M2846" i="1" s="1"/>
  <c r="F95" i="2"/>
  <c r="I95" i="2" s="1"/>
  <c r="AW2845" i="1"/>
  <c r="BC2845" i="1" s="1"/>
  <c r="AX2843" i="1"/>
  <c r="BC2843" i="1" s="1"/>
  <c r="J2843" i="1"/>
  <c r="J2842" i="1" s="1"/>
  <c r="D92" i="2" s="1"/>
  <c r="F40" i="4"/>
  <c r="I40" i="4" s="1"/>
  <c r="M2840" i="1"/>
  <c r="L2839" i="1"/>
  <c r="F91" i="2" s="1"/>
  <c r="I91" i="2" s="1"/>
  <c r="J2840" i="1"/>
  <c r="J2839" i="1" s="1"/>
  <c r="D91" i="2" s="1"/>
  <c r="M2835" i="1"/>
  <c r="BI2835" i="1"/>
  <c r="K2835" i="1"/>
  <c r="BI2832" i="1"/>
  <c r="J2832" i="1"/>
  <c r="J2831" i="1" s="1"/>
  <c r="D88" i="2" s="1"/>
  <c r="K2832" i="1"/>
  <c r="K2831" i="1" s="1"/>
  <c r="E88" i="2" s="1"/>
  <c r="AW2830" i="1"/>
  <c r="AV2830" i="1" s="1"/>
  <c r="BH2830" i="1"/>
  <c r="BI2830" i="1"/>
  <c r="K2830" i="1"/>
  <c r="M2830" i="1"/>
  <c r="BI2826" i="1"/>
  <c r="M2826" i="1"/>
  <c r="M2823" i="1"/>
  <c r="AT2811" i="1"/>
  <c r="M2821" i="1"/>
  <c r="AW2821" i="1"/>
  <c r="AV2821" i="1" s="1"/>
  <c r="BI2816" i="1"/>
  <c r="AC2816" i="1" s="1"/>
  <c r="AW2816" i="1"/>
  <c r="BI2812" i="1"/>
  <c r="AC2812" i="1" s="1"/>
  <c r="L2811" i="1"/>
  <c r="F85" i="2" s="1"/>
  <c r="I85" i="2" s="1"/>
  <c r="K2799" i="1"/>
  <c r="K2798" i="1" s="1"/>
  <c r="E83" i="2" s="1"/>
  <c r="AW2797" i="1"/>
  <c r="AT2794" i="1"/>
  <c r="M2795" i="1"/>
  <c r="AV2790" i="1"/>
  <c r="BC2790" i="1"/>
  <c r="K2790" i="1"/>
  <c r="AL2786" i="1"/>
  <c r="AW2786" i="1"/>
  <c r="AX2786" i="1"/>
  <c r="AS2776" i="1"/>
  <c r="AL2783" i="1"/>
  <c r="AW2761" i="1"/>
  <c r="AV2759" i="1"/>
  <c r="BI2759" i="1"/>
  <c r="AE2759" i="1" s="1"/>
  <c r="M2759" i="1"/>
  <c r="L2755" i="1"/>
  <c r="L2754" i="1" s="1"/>
  <c r="F75" i="2" s="1"/>
  <c r="K2759" i="1"/>
  <c r="AX2753" i="1"/>
  <c r="AX2750" i="1"/>
  <c r="AV2750" i="1" s="1"/>
  <c r="BH2750" i="1"/>
  <c r="AB2750" i="1" s="1"/>
  <c r="AV2746" i="1"/>
  <c r="BI2746" i="1"/>
  <c r="AC2746" i="1" s="1"/>
  <c r="L2745" i="1"/>
  <c r="F72" i="2" s="1"/>
  <c r="I72" i="2" s="1"/>
  <c r="AT2735" i="1"/>
  <c r="AX2736" i="1"/>
  <c r="BH2731" i="1"/>
  <c r="AB2731" i="1" s="1"/>
  <c r="J2731" i="1"/>
  <c r="J2730" i="1" s="1"/>
  <c r="D70" i="2" s="1"/>
  <c r="AW2726" i="1"/>
  <c r="AV2726" i="1" s="1"/>
  <c r="AV2727" i="1"/>
  <c r="AX2720" i="1"/>
  <c r="BC2720" i="1" s="1"/>
  <c r="AV2644" i="1"/>
  <c r="BC2644" i="1"/>
  <c r="M2573" i="1"/>
  <c r="M2577" i="1"/>
  <c r="AL2586" i="1"/>
  <c r="M2595" i="1"/>
  <c r="AL2604" i="1"/>
  <c r="AL2612" i="1"/>
  <c r="J2540" i="1"/>
  <c r="AT2537" i="1"/>
  <c r="AW2544" i="1"/>
  <c r="J2549" i="1"/>
  <c r="AW2556" i="1"/>
  <c r="K2563" i="1"/>
  <c r="AW2564" i="1"/>
  <c r="BC2564" i="1" s="1"/>
  <c r="J2566" i="1"/>
  <c r="J2569" i="1"/>
  <c r="M2576" i="1"/>
  <c r="BI2587" i="1"/>
  <c r="AG2587" i="1" s="1"/>
  <c r="AW2590" i="1"/>
  <c r="BC2590" i="1" s="1"/>
  <c r="K2594" i="1"/>
  <c r="AL2594" i="1"/>
  <c r="BI2605" i="1"/>
  <c r="AG2605" i="1" s="1"/>
  <c r="BH2609" i="1"/>
  <c r="AF2609" i="1" s="1"/>
  <c r="AW2613" i="1"/>
  <c r="AL2628" i="1"/>
  <c r="K2638" i="1"/>
  <c r="AW2654" i="1"/>
  <c r="AX2660" i="1"/>
  <c r="BI2666" i="1"/>
  <c r="AG2666" i="1" s="1"/>
  <c r="M2677" i="1"/>
  <c r="J2680" i="1"/>
  <c r="AL2680" i="1"/>
  <c r="AX2681" i="1"/>
  <c r="AL2691" i="1"/>
  <c r="AW2696" i="1"/>
  <c r="AX2716" i="1"/>
  <c r="AV2716" i="1" s="1"/>
  <c r="AW2552" i="1"/>
  <c r="BC2552" i="1" s="1"/>
  <c r="AW2560" i="1"/>
  <c r="AV2560" i="1" s="1"/>
  <c r="AW2570" i="1"/>
  <c r="BC2570" i="1" s="1"/>
  <c r="AW2576" i="1"/>
  <c r="AW2577" i="1"/>
  <c r="AW2581" i="1"/>
  <c r="BC2581" i="1" s="1"/>
  <c r="AW2595" i="1"/>
  <c r="AW2599" i="1"/>
  <c r="BC2599" i="1" s="1"/>
  <c r="AL2607" i="1"/>
  <c r="AW2635" i="1"/>
  <c r="AW2639" i="1"/>
  <c r="AW2651" i="1"/>
  <c r="AX2654" i="1"/>
  <c r="AW2673" i="1"/>
  <c r="M2694" i="1"/>
  <c r="AX2696" i="1"/>
  <c r="AW2706" i="1"/>
  <c r="M2548" i="1"/>
  <c r="BI2561" i="1"/>
  <c r="AG2561" i="1" s="1"/>
  <c r="BI2567" i="1"/>
  <c r="AG2567" i="1" s="1"/>
  <c r="J2572" i="1"/>
  <c r="BI2573" i="1"/>
  <c r="AG2573" i="1" s="1"/>
  <c r="BI2582" i="1"/>
  <c r="AG2582" i="1" s="1"/>
  <c r="AL2589" i="1"/>
  <c r="BI2600" i="1"/>
  <c r="AG2600" i="1" s="1"/>
  <c r="AW2604" i="1"/>
  <c r="BI2608" i="1"/>
  <c r="AG2608" i="1" s="1"/>
  <c r="AW2612" i="1"/>
  <c r="AV2612" i="1" s="1"/>
  <c r="J2627" i="1"/>
  <c r="AX2635" i="1"/>
  <c r="AW2638" i="1"/>
  <c r="AW2642" i="1"/>
  <c r="BH2664" i="1"/>
  <c r="AF2664" i="1" s="1"/>
  <c r="AX2678" i="1"/>
  <c r="AW2686" i="1"/>
  <c r="AV2686" i="1" s="1"/>
  <c r="BH2716" i="1"/>
  <c r="AF2716" i="1" s="1"/>
  <c r="AW2540" i="1"/>
  <c r="BC2540" i="1" s="1"/>
  <c r="J2542" i="1"/>
  <c r="AW2549" i="1"/>
  <c r="AV2549" i="1" s="1"/>
  <c r="AW2550" i="1"/>
  <c r="AW2551" i="1"/>
  <c r="AV2551" i="1" s="1"/>
  <c r="J2554" i="1"/>
  <c r="BI2564" i="1"/>
  <c r="AG2564" i="1" s="1"/>
  <c r="AW2566" i="1"/>
  <c r="AV2566" i="1" s="1"/>
  <c r="AW2572" i="1"/>
  <c r="AW2575" i="1"/>
  <c r="BC2575" i="1" s="1"/>
  <c r="AW2585" i="1"/>
  <c r="BC2585" i="1" s="1"/>
  <c r="BI2590" i="1"/>
  <c r="AG2590" i="1" s="1"/>
  <c r="BI2591" i="1"/>
  <c r="AG2591" i="1" s="1"/>
  <c r="AW2594" i="1"/>
  <c r="BC2594" i="1" s="1"/>
  <c r="AW2603" i="1"/>
  <c r="BC2603" i="1" s="1"/>
  <c r="AW2611" i="1"/>
  <c r="AV2611" i="1" s="1"/>
  <c r="BH2613" i="1"/>
  <c r="AF2613" i="1" s="1"/>
  <c r="AW2616" i="1"/>
  <c r="AL2620" i="1"/>
  <c r="BH2621" i="1"/>
  <c r="AF2621" i="1" s="1"/>
  <c r="AL2624" i="1"/>
  <c r="BI2625" i="1"/>
  <c r="AG2625" i="1" s="1"/>
  <c r="AX2628" i="1"/>
  <c r="BH2632" i="1"/>
  <c r="AF2632" i="1" s="1"/>
  <c r="AX2638" i="1"/>
  <c r="K2644" i="1"/>
  <c r="M2645" i="1"/>
  <c r="AW2645" i="1"/>
  <c r="J2647" i="1"/>
  <c r="AX2648" i="1"/>
  <c r="J2650" i="1"/>
  <c r="K2653" i="1"/>
  <c r="BI2664" i="1"/>
  <c r="AG2664" i="1" s="1"/>
  <c r="AX2675" i="1"/>
  <c r="J2685" i="1"/>
  <c r="M2703" i="1"/>
  <c r="AW2705" i="1"/>
  <c r="BH2711" i="1"/>
  <c r="AF2711" i="1" s="1"/>
  <c r="AW2713" i="1"/>
  <c r="K2715" i="1"/>
  <c r="AL2550" i="1"/>
  <c r="AL2543" i="1"/>
  <c r="AW2548" i="1"/>
  <c r="BC2548" i="1" s="1"/>
  <c r="AW2555" i="1"/>
  <c r="AV2555" i="1" s="1"/>
  <c r="M2556" i="1"/>
  <c r="AW2559" i="1"/>
  <c r="BH2560" i="1"/>
  <c r="AF2560" i="1" s="1"/>
  <c r="M2561" i="1"/>
  <c r="M2567" i="1"/>
  <c r="AW2569" i="1"/>
  <c r="AV2569" i="1" s="1"/>
  <c r="BH2577" i="1"/>
  <c r="AF2577" i="1" s="1"/>
  <c r="BH2595" i="1"/>
  <c r="AF2595" i="1" s="1"/>
  <c r="AL2597" i="1"/>
  <c r="BI2599" i="1"/>
  <c r="AG2599" i="1" s="1"/>
  <c r="BI2631" i="1"/>
  <c r="AG2631" i="1" s="1"/>
  <c r="AW2680" i="1"/>
  <c r="AW2693" i="1"/>
  <c r="AX2713" i="1"/>
  <c r="K2608" i="1"/>
  <c r="J2546" i="1"/>
  <c r="AW2547" i="1"/>
  <c r="BI2552" i="1"/>
  <c r="AG2552" i="1" s="1"/>
  <c r="K2558" i="1"/>
  <c r="BI2560" i="1"/>
  <c r="AG2560" i="1" s="1"/>
  <c r="BH2576" i="1"/>
  <c r="AF2576" i="1" s="1"/>
  <c r="J2583" i="1"/>
  <c r="AW2593" i="1"/>
  <c r="BC2593" i="1" s="1"/>
  <c r="J2601" i="1"/>
  <c r="BI2612" i="1"/>
  <c r="AG2612" i="1" s="1"/>
  <c r="K2618" i="1"/>
  <c r="M2630" i="1"/>
  <c r="AW2630" i="1"/>
  <c r="K2640" i="1"/>
  <c r="AX2641" i="1"/>
  <c r="AX2653" i="1"/>
  <c r="BC2653" i="1" s="1"/>
  <c r="AL2655" i="1"/>
  <c r="AW2659" i="1"/>
  <c r="BC2659" i="1" s="1"/>
  <c r="J2662" i="1"/>
  <c r="K2669" i="1"/>
  <c r="AL2682" i="1"/>
  <c r="AX2693" i="1"/>
  <c r="AX2708" i="1"/>
  <c r="AX2715" i="1"/>
  <c r="AV2715" i="1" s="1"/>
  <c r="AL2538" i="1"/>
  <c r="AW2539" i="1"/>
  <c r="BI2540" i="1"/>
  <c r="AG2540" i="1" s="1"/>
  <c r="AL2545" i="1"/>
  <c r="BI2549" i="1"/>
  <c r="AG2549" i="1" s="1"/>
  <c r="AW2554" i="1"/>
  <c r="BC2554" i="1" s="1"/>
  <c r="K2557" i="1"/>
  <c r="AW2562" i="1"/>
  <c r="BI2575" i="1"/>
  <c r="AG2575" i="1" s="1"/>
  <c r="BI2576" i="1"/>
  <c r="AG2576" i="1" s="1"/>
  <c r="AW2580" i="1"/>
  <c r="AL2583" i="1"/>
  <c r="BI2594" i="1"/>
  <c r="AG2594" i="1" s="1"/>
  <c r="AW2598" i="1"/>
  <c r="AL2601" i="1"/>
  <c r="BI2611" i="1"/>
  <c r="AG2611" i="1" s="1"/>
  <c r="AW2615" i="1"/>
  <c r="AV2615" i="1" s="1"/>
  <c r="AL2618" i="1"/>
  <c r="J2622" i="1"/>
  <c r="K2643" i="1"/>
  <c r="K2652" i="1"/>
  <c r="AL2661" i="1"/>
  <c r="AL2662" i="1"/>
  <c r="AL2666" i="1"/>
  <c r="AL2671" i="1"/>
  <c r="AX2672" i="1"/>
  <c r="BC2672" i="1" s="1"/>
  <c r="AW2702" i="1"/>
  <c r="AW2543" i="1"/>
  <c r="BC2543" i="1" s="1"/>
  <c r="BI2550" i="1"/>
  <c r="AG2550" i="1" s="1"/>
  <c r="BI2551" i="1"/>
  <c r="AG2551" i="1" s="1"/>
  <c r="BI2555" i="1"/>
  <c r="AG2555" i="1" s="1"/>
  <c r="AW2558" i="1"/>
  <c r="BC2558" i="1" s="1"/>
  <c r="AW2565" i="1"/>
  <c r="BI2584" i="1"/>
  <c r="AG2584" i="1" s="1"/>
  <c r="BI2585" i="1"/>
  <c r="AG2585" i="1" s="1"/>
  <c r="K2591" i="1"/>
  <c r="BI2602" i="1"/>
  <c r="AG2602" i="1" s="1"/>
  <c r="BI2603" i="1"/>
  <c r="AG2603" i="1" s="1"/>
  <c r="AL2622" i="1"/>
  <c r="K2626" i="1"/>
  <c r="AV2626" i="1"/>
  <c r="AL2646" i="1"/>
  <c r="AL2649" i="1"/>
  <c r="BH2656" i="1"/>
  <c r="AF2656" i="1" s="1"/>
  <c r="AX2669" i="1"/>
  <c r="BH2685" i="1"/>
  <c r="AF2685" i="1" s="1"/>
  <c r="M2700" i="1"/>
  <c r="AX2710" i="1"/>
  <c r="BC2710" i="1" s="1"/>
  <c r="BC2545" i="1"/>
  <c r="BI2547" i="1"/>
  <c r="AG2547" i="1" s="1"/>
  <c r="M2559" i="1"/>
  <c r="K2582" i="1"/>
  <c r="AL2591" i="1"/>
  <c r="BI2593" i="1"/>
  <c r="AG2593" i="1" s="1"/>
  <c r="K2600" i="1"/>
  <c r="BH2653" i="1"/>
  <c r="AF2653" i="1" s="1"/>
  <c r="BI2663" i="1"/>
  <c r="AG2663" i="1" s="1"/>
  <c r="AV2674" i="1"/>
  <c r="BI2705" i="1"/>
  <c r="AG2705" i="1" s="1"/>
  <c r="BH2715" i="1"/>
  <c r="AF2715" i="1" s="1"/>
  <c r="BI2548" i="1"/>
  <c r="AG2548" i="1" s="1"/>
  <c r="K2550" i="1"/>
  <c r="K2561" i="1"/>
  <c r="J2564" i="1"/>
  <c r="K2573" i="1"/>
  <c r="AW2587" i="1"/>
  <c r="BC2587" i="1" s="1"/>
  <c r="BI2606" i="1"/>
  <c r="AG2606" i="1" s="1"/>
  <c r="AW2618" i="1"/>
  <c r="M2626" i="1"/>
  <c r="AW2633" i="1"/>
  <c r="M2634" i="1"/>
  <c r="BH2650" i="1"/>
  <c r="AF2650" i="1" s="1"/>
  <c r="M2685" i="1"/>
  <c r="AX2535" i="1"/>
  <c r="BC2535" i="1" s="1"/>
  <c r="BH2535" i="1"/>
  <c r="J2535" i="1"/>
  <c r="AX2534" i="1"/>
  <c r="BI2532" i="1"/>
  <c r="AE2532" i="1" s="1"/>
  <c r="BH2531" i="1"/>
  <c r="M2526" i="1"/>
  <c r="AW2532" i="1"/>
  <c r="BC2532" i="1" s="1"/>
  <c r="J2531" i="1"/>
  <c r="AX2521" i="1"/>
  <c r="BH2523" i="1"/>
  <c r="AD2523" i="1" s="1"/>
  <c r="BI2521" i="1"/>
  <c r="AE2521" i="1" s="1"/>
  <c r="J2523" i="1"/>
  <c r="AX2522" i="1"/>
  <c r="M2513" i="1"/>
  <c r="AX2513" i="1"/>
  <c r="M2518" i="1"/>
  <c r="J2519" i="1"/>
  <c r="BH2519" i="1"/>
  <c r="AD2519" i="1" s="1"/>
  <c r="BH2514" i="1"/>
  <c r="AD2514" i="1" s="1"/>
  <c r="J2511" i="1"/>
  <c r="BH2503" i="1"/>
  <c r="AD2503" i="1" s="1"/>
  <c r="AW2502" i="1"/>
  <c r="BI2505" i="1"/>
  <c r="AE2505" i="1" s="1"/>
  <c r="AX2509" i="1"/>
  <c r="K2505" i="1"/>
  <c r="M2503" i="1"/>
  <c r="J2501" i="1"/>
  <c r="AX2502" i="1"/>
  <c r="AW2511" i="1"/>
  <c r="M2509" i="1"/>
  <c r="M2501" i="1"/>
  <c r="BH2502" i="1"/>
  <c r="AD2502" i="1" s="1"/>
  <c r="AX2506" i="1"/>
  <c r="BC2506" i="1" s="1"/>
  <c r="BI2504" i="1"/>
  <c r="AE2504" i="1" s="1"/>
  <c r="BH2506" i="1"/>
  <c r="AD2506" i="1" s="1"/>
  <c r="J2507" i="1"/>
  <c r="AW2497" i="1"/>
  <c r="AX2497" i="1"/>
  <c r="BH2497" i="1"/>
  <c r="AD2497" i="1" s="1"/>
  <c r="BI2497" i="1"/>
  <c r="AE2497" i="1" s="1"/>
  <c r="BH2495" i="1"/>
  <c r="AD2495" i="1" s="1"/>
  <c r="AX2491" i="1"/>
  <c r="BC2491" i="1" s="1"/>
  <c r="K2490" i="1"/>
  <c r="AX2490" i="1"/>
  <c r="BC2490" i="1" s="1"/>
  <c r="BI2491" i="1"/>
  <c r="AE2491" i="1" s="1"/>
  <c r="BH2490" i="1"/>
  <c r="AD2490" i="1" s="1"/>
  <c r="M2490" i="1"/>
  <c r="BI2484" i="1"/>
  <c r="AE2484" i="1" s="1"/>
  <c r="J2483" i="1"/>
  <c r="K2484" i="1"/>
  <c r="AL2484" i="1"/>
  <c r="BH2488" i="1"/>
  <c r="AD2488" i="1" s="1"/>
  <c r="M2468" i="1"/>
  <c r="M2478" i="1"/>
  <c r="BH2471" i="1"/>
  <c r="AD2471" i="1" s="1"/>
  <c r="AW2473" i="1"/>
  <c r="AX2476" i="1"/>
  <c r="AV2476" i="1" s="1"/>
  <c r="BH2468" i="1"/>
  <c r="AD2468" i="1" s="1"/>
  <c r="AW2470" i="1"/>
  <c r="AX2473" i="1"/>
  <c r="BH2465" i="1"/>
  <c r="AD2465" i="1" s="1"/>
  <c r="BI2476" i="1"/>
  <c r="AE2476" i="1" s="1"/>
  <c r="BI2475" i="1"/>
  <c r="AE2475" i="1" s="1"/>
  <c r="AW2477" i="1"/>
  <c r="AV2477" i="1" s="1"/>
  <c r="BI2472" i="1"/>
  <c r="AE2472" i="1" s="1"/>
  <c r="BI2469" i="1"/>
  <c r="AE2469" i="1" s="1"/>
  <c r="J2471" i="1"/>
  <c r="J2468" i="1"/>
  <c r="AW2463" i="1"/>
  <c r="M2460" i="1"/>
  <c r="K2459" i="1"/>
  <c r="AX2459" i="1"/>
  <c r="AV2459" i="1" s="1"/>
  <c r="BH2457" i="1"/>
  <c r="AD2457" i="1" s="1"/>
  <c r="AW2456" i="1"/>
  <c r="BI2454" i="1"/>
  <c r="AE2454" i="1" s="1"/>
  <c r="K2454" i="1"/>
  <c r="AX2445" i="1"/>
  <c r="BI2445" i="1"/>
  <c r="AE2445" i="1" s="1"/>
  <c r="BH2441" i="1"/>
  <c r="AD2441" i="1" s="1"/>
  <c r="M2441" i="1"/>
  <c r="AX2439" i="1"/>
  <c r="AL2435" i="1"/>
  <c r="BH2435" i="1"/>
  <c r="AD2435" i="1" s="1"/>
  <c r="K2430" i="1"/>
  <c r="M2431" i="1"/>
  <c r="BH2428" i="1"/>
  <c r="AD2428" i="1" s="1"/>
  <c r="AX2430" i="1"/>
  <c r="AV2430" i="1" s="1"/>
  <c r="M2428" i="1"/>
  <c r="AL2422" i="1"/>
  <c r="J2418" i="1"/>
  <c r="M2417" i="1"/>
  <c r="AW2414" i="1"/>
  <c r="AX2414" i="1"/>
  <c r="AW2416" i="1"/>
  <c r="AX2416" i="1"/>
  <c r="BH2414" i="1"/>
  <c r="AD2414" i="1" s="1"/>
  <c r="M2414" i="1"/>
  <c r="K2409" i="1"/>
  <c r="J2408" i="1"/>
  <c r="BI2409" i="1"/>
  <c r="AE2409" i="1" s="1"/>
  <c r="BH2412" i="1"/>
  <c r="AD2412" i="1" s="1"/>
  <c r="AW2411" i="1"/>
  <c r="BH2408" i="1"/>
  <c r="J2404" i="1"/>
  <c r="K2404" i="1"/>
  <c r="BH2404" i="1"/>
  <c r="AD2404" i="1" s="1"/>
  <c r="BH2399" i="1"/>
  <c r="AX2398" i="1"/>
  <c r="AV2398" i="1" s="1"/>
  <c r="AX2396" i="1"/>
  <c r="AV2396" i="1" s="1"/>
  <c r="BH2398" i="1"/>
  <c r="AD2398" i="1" s="1"/>
  <c r="BH2396" i="1"/>
  <c r="AD2396" i="1" s="1"/>
  <c r="BH2395" i="1"/>
  <c r="AD2395" i="1" s="1"/>
  <c r="AV2391" i="1"/>
  <c r="BC2391" i="1"/>
  <c r="J2385" i="1"/>
  <c r="AX2390" i="1"/>
  <c r="BH2391" i="1"/>
  <c r="AD2391" i="1" s="1"/>
  <c r="BH2388" i="1"/>
  <c r="AD2388" i="1" s="1"/>
  <c r="J2383" i="1"/>
  <c r="BH2383" i="1"/>
  <c r="AD2383" i="1" s="1"/>
  <c r="AX2378" i="1"/>
  <c r="AV2378" i="1" s="1"/>
  <c r="J2378" i="1"/>
  <c r="AX2375" i="1"/>
  <c r="AV2375" i="1" s="1"/>
  <c r="BH2375" i="1"/>
  <c r="AD2375" i="1" s="1"/>
  <c r="AX2371" i="1"/>
  <c r="AV2371" i="1" s="1"/>
  <c r="BH2371" i="1"/>
  <c r="AD2371" i="1" s="1"/>
  <c r="AX2365" i="1"/>
  <c r="BC2365" i="1" s="1"/>
  <c r="AV2366" i="1"/>
  <c r="AX2362" i="1"/>
  <c r="AV2362" i="1" s="1"/>
  <c r="BH2362" i="1"/>
  <c r="AD2362" i="1" s="1"/>
  <c r="BI2362" i="1"/>
  <c r="AE2362" i="1" s="1"/>
  <c r="BC2360" i="1"/>
  <c r="J2355" i="1"/>
  <c r="BH2355" i="1"/>
  <c r="AD2355" i="1" s="1"/>
  <c r="AX2358" i="1"/>
  <c r="BC2358" i="1" s="1"/>
  <c r="BH2357" i="1"/>
  <c r="AD2357" i="1" s="1"/>
  <c r="K2352" i="1"/>
  <c r="AX2352" i="1"/>
  <c r="J2348" i="1"/>
  <c r="BH2346" i="1"/>
  <c r="AD2346" i="1" s="1"/>
  <c r="J2346" i="1"/>
  <c r="AV2346" i="1"/>
  <c r="BH2344" i="1"/>
  <c r="AD2344" i="1" s="1"/>
  <c r="J2344" i="1"/>
  <c r="AV2343" i="1"/>
  <c r="BI2344" i="1"/>
  <c r="AE2344" i="1" s="1"/>
  <c r="BH2343" i="1"/>
  <c r="AD2343" i="1" s="1"/>
  <c r="BH2338" i="1"/>
  <c r="AD2338" i="1" s="1"/>
  <c r="J2332" i="1"/>
  <c r="AX2334" i="1"/>
  <c r="BC2332" i="1"/>
  <c r="J2331" i="1"/>
  <c r="AX2331" i="1"/>
  <c r="BC2331" i="1" s="1"/>
  <c r="BH2331" i="1"/>
  <c r="AD2331" i="1" s="1"/>
  <c r="AV2328" i="1"/>
  <c r="J2326" i="1"/>
  <c r="K2326" i="1"/>
  <c r="BH2326" i="1"/>
  <c r="AD2326" i="1" s="1"/>
  <c r="BI2324" i="1"/>
  <c r="AE2324" i="1" s="1"/>
  <c r="K2322" i="1"/>
  <c r="AV2322" i="1"/>
  <c r="BI2322" i="1"/>
  <c r="AE2322" i="1" s="1"/>
  <c r="AL2317" i="1"/>
  <c r="AX2317" i="1"/>
  <c r="BH2320" i="1"/>
  <c r="AD2320" i="1" s="1"/>
  <c r="J2314" i="1"/>
  <c r="K2311" i="1"/>
  <c r="AX2311" i="1"/>
  <c r="BC2311" i="1" s="1"/>
  <c r="M2311" i="1"/>
  <c r="BH2309" i="1"/>
  <c r="AD2309" i="1" s="1"/>
  <c r="BI2306" i="1"/>
  <c r="AE2306" i="1" s="1"/>
  <c r="J2306" i="1"/>
  <c r="K2306" i="1"/>
  <c r="AV2306" i="1"/>
  <c r="AX2304" i="1"/>
  <c r="AX2301" i="1"/>
  <c r="BH2304" i="1"/>
  <c r="AD2304" i="1" s="1"/>
  <c r="BI2304" i="1"/>
  <c r="AE2304" i="1" s="1"/>
  <c r="K2292" i="1"/>
  <c r="AX2292" i="1"/>
  <c r="AX2290" i="1"/>
  <c r="AV2290" i="1" s="1"/>
  <c r="AV2286" i="1"/>
  <c r="BH2286" i="1"/>
  <c r="AD2286" i="1" s="1"/>
  <c r="BH2285" i="1"/>
  <c r="AD2285" i="1" s="1"/>
  <c r="K2264" i="1"/>
  <c r="AX2264" i="1"/>
  <c r="BC2264" i="1" s="1"/>
  <c r="K2262" i="1"/>
  <c r="AX2262" i="1"/>
  <c r="BC2262" i="1" s="1"/>
  <c r="AT2239" i="1"/>
  <c r="AX2256" i="1"/>
  <c r="BC2247" i="1"/>
  <c r="AV2247" i="1"/>
  <c r="BI2247" i="1"/>
  <c r="AE2247" i="1" s="1"/>
  <c r="M2242" i="1"/>
  <c r="J2240" i="1"/>
  <c r="AS2239" i="1"/>
  <c r="BI2237" i="1"/>
  <c r="AE2237" i="1" s="1"/>
  <c r="BH2236" i="1"/>
  <c r="AD2236" i="1" s="1"/>
  <c r="J2237" i="1"/>
  <c r="AW2238" i="1"/>
  <c r="AV2238" i="1" s="1"/>
  <c r="BH2238" i="1"/>
  <c r="BC2234" i="1"/>
  <c r="O2230" i="1"/>
  <c r="G60" i="2" s="1"/>
  <c r="AT2230" i="1"/>
  <c r="M2234" i="1"/>
  <c r="AS2230" i="1"/>
  <c r="K2228" i="1"/>
  <c r="AS2226" i="1"/>
  <c r="AT2226" i="1"/>
  <c r="BH2229" i="1"/>
  <c r="L2150" i="1"/>
  <c r="F58" i="2" s="1"/>
  <c r="I58" i="2" s="1"/>
  <c r="M2223" i="1"/>
  <c r="J2221" i="1"/>
  <c r="K2221" i="1"/>
  <c r="AX2221" i="1"/>
  <c r="BC2221" i="1" s="1"/>
  <c r="AT2150" i="1"/>
  <c r="M2149" i="1"/>
  <c r="AX2146" i="1"/>
  <c r="BI2146" i="1"/>
  <c r="AE2146" i="1" s="1"/>
  <c r="M2146" i="1"/>
  <c r="AS2033" i="1"/>
  <c r="AT2033" i="1"/>
  <c r="AX2032" i="1"/>
  <c r="BC2032" i="1" s="1"/>
  <c r="BI2032" i="1"/>
  <c r="M2032" i="1"/>
  <c r="AS2000" i="1"/>
  <c r="AT2000" i="1"/>
  <c r="M2018" i="1"/>
  <c r="AW2011" i="1"/>
  <c r="BC2011" i="1" s="1"/>
  <c r="AX2001" i="1"/>
  <c r="BI2001" i="1"/>
  <c r="AE2001" i="1" s="1"/>
  <c r="M2001" i="1"/>
  <c r="K1999" i="1"/>
  <c r="M1999" i="1"/>
  <c r="AW1994" i="1"/>
  <c r="BC1994" i="1" s="1"/>
  <c r="BI1994" i="1"/>
  <c r="AE1994" i="1" s="1"/>
  <c r="M1991" i="1"/>
  <c r="AW1988" i="1"/>
  <c r="BH1988" i="1"/>
  <c r="AD1988" i="1" s="1"/>
  <c r="M1988" i="1"/>
  <c r="AX1979" i="1"/>
  <c r="BH1979" i="1"/>
  <c r="AD1979" i="1" s="1"/>
  <c r="BI1979" i="1"/>
  <c r="AE1979" i="1" s="1"/>
  <c r="M1979" i="1"/>
  <c r="K1976" i="1"/>
  <c r="BI1976" i="1"/>
  <c r="AE1976" i="1" s="1"/>
  <c r="BI1973" i="1"/>
  <c r="AE1973" i="1" s="1"/>
  <c r="AW1969" i="1"/>
  <c r="BC1969" i="1" s="1"/>
  <c r="K1966" i="1"/>
  <c r="AX1962" i="1"/>
  <c r="BI1962" i="1"/>
  <c r="AE1962" i="1" s="1"/>
  <c r="M1962" i="1"/>
  <c r="AW1957" i="1"/>
  <c r="BC1957" i="1" s="1"/>
  <c r="BH1957" i="1"/>
  <c r="AD1957" i="1" s="1"/>
  <c r="BI1957" i="1"/>
  <c r="AE1957" i="1" s="1"/>
  <c r="J1956" i="1"/>
  <c r="BH1956" i="1"/>
  <c r="AD1956" i="1" s="1"/>
  <c r="M1954" i="1"/>
  <c r="J1952" i="1"/>
  <c r="AW1952" i="1"/>
  <c r="AW1938" i="1"/>
  <c r="M1938" i="1"/>
  <c r="BI1936" i="1"/>
  <c r="AE1936" i="1" s="1"/>
  <c r="AL1934" i="1"/>
  <c r="BI1932" i="1"/>
  <c r="AE1932" i="1" s="1"/>
  <c r="K1930" i="1"/>
  <c r="BH1930" i="1"/>
  <c r="AD1930" i="1" s="1"/>
  <c r="BI1930" i="1"/>
  <c r="AE1930" i="1" s="1"/>
  <c r="M1928" i="1"/>
  <c r="AW1926" i="1"/>
  <c r="AV1926" i="1" s="1"/>
  <c r="M1921" i="1"/>
  <c r="AV1918" i="1"/>
  <c r="BI1918" i="1"/>
  <c r="AE1918" i="1" s="1"/>
  <c r="AW1895" i="1"/>
  <c r="M1903" i="1"/>
  <c r="M1915" i="1"/>
  <c r="K1906" i="1"/>
  <c r="AW1915" i="1"/>
  <c r="BC1915" i="1" s="1"/>
  <c r="K1892" i="1"/>
  <c r="K1897" i="1"/>
  <c r="BI1899" i="1"/>
  <c r="AE1899" i="1" s="1"/>
  <c r="AW1903" i="1"/>
  <c r="AV1903" i="1" s="1"/>
  <c r="AL1906" i="1"/>
  <c r="K1907" i="1"/>
  <c r="AX1908" i="1"/>
  <c r="BI1910" i="1"/>
  <c r="AE1910" i="1" s="1"/>
  <c r="BI1900" i="1"/>
  <c r="AE1900" i="1" s="1"/>
  <c r="AW1902" i="1"/>
  <c r="BC1902" i="1" s="1"/>
  <c r="BI1909" i="1"/>
  <c r="AE1909" i="1" s="1"/>
  <c r="AW1912" i="1"/>
  <c r="BI1908" i="1"/>
  <c r="AE1908" i="1" s="1"/>
  <c r="BH1915" i="1"/>
  <c r="AD1915" i="1" s="1"/>
  <c r="BI1916" i="1"/>
  <c r="AE1916" i="1" s="1"/>
  <c r="AV1897" i="1"/>
  <c r="BI1903" i="1"/>
  <c r="AE1903" i="1" s="1"/>
  <c r="AW1905" i="1"/>
  <c r="BC1905" i="1" s="1"/>
  <c r="AW1896" i="1"/>
  <c r="BC1896" i="1" s="1"/>
  <c r="AL1900" i="1"/>
  <c r="AL1910" i="1"/>
  <c r="M1911" i="1"/>
  <c r="AV1916" i="1"/>
  <c r="K1909" i="1"/>
  <c r="K1916" i="1"/>
  <c r="BI1905" i="1"/>
  <c r="AE1905" i="1" s="1"/>
  <c r="AV1910" i="1"/>
  <c r="AW1890" i="1"/>
  <c r="BC1890" i="1" s="1"/>
  <c r="BI1890" i="1"/>
  <c r="AE1890" i="1" s="1"/>
  <c r="AW1888" i="1"/>
  <c r="AL1886" i="1"/>
  <c r="BI1886" i="1"/>
  <c r="AE1886" i="1" s="1"/>
  <c r="K1886" i="1"/>
  <c r="AW1884" i="1"/>
  <c r="BC1884" i="1" s="1"/>
  <c r="BI1884" i="1"/>
  <c r="AE1884" i="1" s="1"/>
  <c r="BH1880" i="1"/>
  <c r="AD1880" i="1" s="1"/>
  <c r="AL1880" i="1"/>
  <c r="K1878" i="1"/>
  <c r="BI1878" i="1"/>
  <c r="AE1878" i="1" s="1"/>
  <c r="AW1876" i="1"/>
  <c r="AL1874" i="1"/>
  <c r="AW1868" i="1"/>
  <c r="BC1868" i="1" s="1"/>
  <c r="BI1868" i="1"/>
  <c r="AE1868" i="1" s="1"/>
  <c r="AW1866" i="1"/>
  <c r="AV1866" i="1" s="1"/>
  <c r="BI1866" i="1"/>
  <c r="AE1866" i="1" s="1"/>
  <c r="K1866" i="1"/>
  <c r="AL1811" i="1"/>
  <c r="K1823" i="1"/>
  <c r="AL1826" i="1"/>
  <c r="M1827" i="1"/>
  <c r="K1830" i="1"/>
  <c r="AW1831" i="1"/>
  <c r="BI1839" i="1"/>
  <c r="AE1839" i="1" s="1"/>
  <c r="AW1841" i="1"/>
  <c r="BC1841" i="1" s="1"/>
  <c r="M1845" i="1"/>
  <c r="K1848" i="1"/>
  <c r="AW1857" i="1"/>
  <c r="BC1857" i="1" s="1"/>
  <c r="BH1858" i="1"/>
  <c r="AD1858" i="1" s="1"/>
  <c r="AW1861" i="1"/>
  <c r="K1853" i="1"/>
  <c r="AW1802" i="1"/>
  <c r="K1811" i="1"/>
  <c r="AW1814" i="1"/>
  <c r="K1826" i="1"/>
  <c r="AV1827" i="1"/>
  <c r="AW1826" i="1"/>
  <c r="BC1826" i="1" s="1"/>
  <c r="BI1841" i="1"/>
  <c r="AE1841" i="1" s="1"/>
  <c r="BI1842" i="1"/>
  <c r="AE1842" i="1" s="1"/>
  <c r="AW1844" i="1"/>
  <c r="AV1844" i="1" s="1"/>
  <c r="AW1860" i="1"/>
  <c r="BC1860" i="1" s="1"/>
  <c r="BH1861" i="1"/>
  <c r="AD1861" i="1" s="1"/>
  <c r="AL1863" i="1"/>
  <c r="AW1799" i="1"/>
  <c r="BI1802" i="1"/>
  <c r="AE1802" i="1" s="1"/>
  <c r="AW1811" i="1"/>
  <c r="AS1818" i="1"/>
  <c r="M1821" i="1"/>
  <c r="AW1830" i="1"/>
  <c r="BC1830" i="1" s="1"/>
  <c r="AL1836" i="1"/>
  <c r="AW1837" i="1"/>
  <c r="AW1848" i="1"/>
  <c r="BC1848" i="1" s="1"/>
  <c r="AL1851" i="1"/>
  <c r="AW1852" i="1"/>
  <c r="BI1856" i="1"/>
  <c r="AE1856" i="1" s="1"/>
  <c r="BI1857" i="1"/>
  <c r="AE1857" i="1" s="1"/>
  <c r="AW1859" i="1"/>
  <c r="BC1859" i="1" s="1"/>
  <c r="AS1782" i="1"/>
  <c r="BI1814" i="1"/>
  <c r="AE1814" i="1" s="1"/>
  <c r="J1819" i="1"/>
  <c r="BI1823" i="1"/>
  <c r="AE1823" i="1" s="1"/>
  <c r="AL1832" i="1"/>
  <c r="BI1845" i="1"/>
  <c r="AE1845" i="1" s="1"/>
  <c r="AW1847" i="1"/>
  <c r="AV1847" i="1" s="1"/>
  <c r="J1854" i="1"/>
  <c r="L1782" i="1"/>
  <c r="F52" i="2" s="1"/>
  <c r="I52" i="2" s="1"/>
  <c r="AW1819" i="1"/>
  <c r="BI1826" i="1"/>
  <c r="AE1826" i="1" s="1"/>
  <c r="BI1827" i="1"/>
  <c r="AE1827" i="1" s="1"/>
  <c r="K1839" i="1"/>
  <c r="BI1844" i="1"/>
  <c r="AE1844" i="1" s="1"/>
  <c r="J1799" i="1"/>
  <c r="BI1824" i="1"/>
  <c r="AE1824" i="1" s="1"/>
  <c r="BI1838" i="1"/>
  <c r="AE1838" i="1" s="1"/>
  <c r="BI1853" i="1"/>
  <c r="AE1853" i="1" s="1"/>
  <c r="AW1783" i="1"/>
  <c r="BI1811" i="1"/>
  <c r="AE1811" i="1" s="1"/>
  <c r="K1821" i="1"/>
  <c r="K1842" i="1"/>
  <c r="J1857" i="1"/>
  <c r="BI1859" i="1"/>
  <c r="AE1859" i="1" s="1"/>
  <c r="BI1860" i="1"/>
  <c r="AE1860" i="1" s="1"/>
  <c r="BC1862" i="1"/>
  <c r="K1824" i="1"/>
  <c r="AL1842" i="1"/>
  <c r="AL1802" i="1"/>
  <c r="BI1863" i="1"/>
  <c r="AE1863" i="1" s="1"/>
  <c r="AL1823" i="1"/>
  <c r="J1830" i="1"/>
  <c r="J1848" i="1"/>
  <c r="K1860" i="1"/>
  <c r="J1781" i="1"/>
  <c r="M1781" i="1"/>
  <c r="AW1781" i="1"/>
  <c r="BC1781" i="1" s="1"/>
  <c r="AT1772" i="1"/>
  <c r="AW1749" i="1"/>
  <c r="BH1736" i="1"/>
  <c r="AD1736" i="1" s="1"/>
  <c r="BI1756" i="1"/>
  <c r="AE1756" i="1" s="1"/>
  <c r="M1748" i="1"/>
  <c r="AW1751" i="1"/>
  <c r="M1756" i="1"/>
  <c r="AW1763" i="1"/>
  <c r="BC1763" i="1" s="1"/>
  <c r="AW1773" i="1"/>
  <c r="BC1773" i="1" s="1"/>
  <c r="M1736" i="1"/>
  <c r="AW1743" i="1"/>
  <c r="BC1743" i="1" s="1"/>
  <c r="AW1747" i="1"/>
  <c r="J1753" i="1"/>
  <c r="BC1753" i="1"/>
  <c r="AW1754" i="1"/>
  <c r="AW1758" i="1"/>
  <c r="AW1769" i="1"/>
  <c r="BC1769" i="1" s="1"/>
  <c r="J1737" i="1"/>
  <c r="AW1748" i="1"/>
  <c r="AW1757" i="1"/>
  <c r="AV1757" i="1" s="1"/>
  <c r="BI1764" i="1"/>
  <c r="AE1764" i="1" s="1"/>
  <c r="AW1766" i="1"/>
  <c r="K1771" i="1"/>
  <c r="AW1746" i="1"/>
  <c r="BC1746" i="1" s="1"/>
  <c r="M1750" i="1"/>
  <c r="BI1758" i="1"/>
  <c r="AE1758" i="1" s="1"/>
  <c r="K1741" i="1"/>
  <c r="BI1743" i="1"/>
  <c r="AE1743" i="1" s="1"/>
  <c r="BI1748" i="1"/>
  <c r="AE1748" i="1" s="1"/>
  <c r="BI1754" i="1"/>
  <c r="AE1754" i="1" s="1"/>
  <c r="AW1762" i="1"/>
  <c r="BC1762" i="1" s="1"/>
  <c r="J1736" i="1"/>
  <c r="BI1747" i="1"/>
  <c r="AE1747" i="1" s="1"/>
  <c r="K1752" i="1"/>
  <c r="AW1756" i="1"/>
  <c r="K1764" i="1"/>
  <c r="AW1765" i="1"/>
  <c r="BC1765" i="1" s="1"/>
  <c r="BI1766" i="1"/>
  <c r="AE1766" i="1" s="1"/>
  <c r="M1747" i="1"/>
  <c r="J1749" i="1"/>
  <c r="M1752" i="1"/>
  <c r="J1758" i="1"/>
  <c r="AW1759" i="1"/>
  <c r="M1766" i="1"/>
  <c r="BI1768" i="1"/>
  <c r="AE1768" i="1" s="1"/>
  <c r="BI1771" i="1"/>
  <c r="M1703" i="1"/>
  <c r="BH1712" i="1"/>
  <c r="AD1712" i="1" s="1"/>
  <c r="BI1715" i="1"/>
  <c r="AE1715" i="1" s="1"/>
  <c r="BH1703" i="1"/>
  <c r="AD1703" i="1" s="1"/>
  <c r="BH1704" i="1"/>
  <c r="AD1704" i="1" s="1"/>
  <c r="BH1710" i="1"/>
  <c r="AD1710" i="1" s="1"/>
  <c r="BI1712" i="1"/>
  <c r="AE1712" i="1" s="1"/>
  <c r="J1722" i="1"/>
  <c r="K1725" i="1"/>
  <c r="BI1703" i="1"/>
  <c r="AE1703" i="1" s="1"/>
  <c r="BI1704" i="1"/>
  <c r="AE1704" i="1" s="1"/>
  <c r="BH1706" i="1"/>
  <c r="AD1706" i="1" s="1"/>
  <c r="BH1707" i="1"/>
  <c r="AD1707" i="1" s="1"/>
  <c r="BH1709" i="1"/>
  <c r="AD1709" i="1" s="1"/>
  <c r="BI1710" i="1"/>
  <c r="AE1710" i="1" s="1"/>
  <c r="BI1706" i="1"/>
  <c r="AE1706" i="1" s="1"/>
  <c r="BI1707" i="1"/>
  <c r="AE1707" i="1" s="1"/>
  <c r="BI1709" i="1"/>
  <c r="AE1709" i="1" s="1"/>
  <c r="M1712" i="1"/>
  <c r="J1716" i="1"/>
  <c r="K1719" i="1"/>
  <c r="J1724" i="1"/>
  <c r="K1727" i="1"/>
  <c r="J1713" i="1"/>
  <c r="K1716" i="1"/>
  <c r="J1721" i="1"/>
  <c r="K1724" i="1"/>
  <c r="AL1724" i="1"/>
  <c r="BH1728" i="1"/>
  <c r="K1704" i="1"/>
  <c r="J1707" i="1"/>
  <c r="J1710" i="1"/>
  <c r="J1715" i="1"/>
  <c r="K1718" i="1"/>
  <c r="K1715" i="1"/>
  <c r="AL1715" i="1"/>
  <c r="BH1725" i="1"/>
  <c r="AD1725" i="1" s="1"/>
  <c r="J1703" i="1"/>
  <c r="K1703" i="1"/>
  <c r="J1706" i="1"/>
  <c r="K1712" i="1"/>
  <c r="M1698" i="1"/>
  <c r="J1699" i="1"/>
  <c r="J1698" i="1"/>
  <c r="BH1698" i="1"/>
  <c r="AD1698" i="1" s="1"/>
  <c r="BH1694" i="1"/>
  <c r="AD1694" i="1" s="1"/>
  <c r="K1686" i="1"/>
  <c r="AL1673" i="1"/>
  <c r="AV1679" i="1"/>
  <c r="BC1679" i="1"/>
  <c r="AW1672" i="1"/>
  <c r="J1675" i="1"/>
  <c r="AL1675" i="1"/>
  <c r="AX1676" i="1"/>
  <c r="BC1676" i="1" s="1"/>
  <c r="BI1679" i="1"/>
  <c r="AE1679" i="1" s="1"/>
  <c r="AV1682" i="1"/>
  <c r="BH1672" i="1"/>
  <c r="AD1672" i="1" s="1"/>
  <c r="BH1676" i="1"/>
  <c r="AD1676" i="1" s="1"/>
  <c r="J1679" i="1"/>
  <c r="BH1675" i="1"/>
  <c r="AD1675" i="1" s="1"/>
  <c r="BI1676" i="1"/>
  <c r="AE1676" i="1" s="1"/>
  <c r="K1679" i="1"/>
  <c r="BH1682" i="1"/>
  <c r="AD1682" i="1" s="1"/>
  <c r="J1676" i="1"/>
  <c r="AT1674" i="1"/>
  <c r="AV1579" i="1"/>
  <c r="BC1579" i="1"/>
  <c r="AV1574" i="1"/>
  <c r="BC1574" i="1"/>
  <c r="AV1556" i="1"/>
  <c r="BC1556" i="1"/>
  <c r="AV1559" i="1"/>
  <c r="BC1559" i="1"/>
  <c r="J1607" i="1"/>
  <c r="M1561" i="1"/>
  <c r="AL1572" i="1"/>
  <c r="BI1582" i="1"/>
  <c r="AE1582" i="1" s="1"/>
  <c r="AL1587" i="1"/>
  <c r="AW1593" i="1"/>
  <c r="M1598" i="1"/>
  <c r="AW1605" i="1"/>
  <c r="AW1611" i="1"/>
  <c r="AX1613" i="1"/>
  <c r="BC1613" i="1" s="1"/>
  <c r="AW1616" i="1"/>
  <c r="AW1619" i="1"/>
  <c r="BI1623" i="1"/>
  <c r="AE1623" i="1" s="1"/>
  <c r="M1630" i="1"/>
  <c r="M1638" i="1"/>
  <c r="M1641" i="1"/>
  <c r="AW1656" i="1"/>
  <c r="AL1663" i="1"/>
  <c r="BI1666" i="1"/>
  <c r="AE1666" i="1" s="1"/>
  <c r="AL1669" i="1"/>
  <c r="BH1556" i="1"/>
  <c r="AD1556" i="1" s="1"/>
  <c r="BH1559" i="1"/>
  <c r="AD1559" i="1" s="1"/>
  <c r="AX1576" i="1"/>
  <c r="AV1576" i="1" s="1"/>
  <c r="BH1579" i="1"/>
  <c r="AD1579" i="1" s="1"/>
  <c r="AX1593" i="1"/>
  <c r="M1594" i="1"/>
  <c r="AX1605" i="1"/>
  <c r="AW1607" i="1"/>
  <c r="AV1607" i="1" s="1"/>
  <c r="AW1610" i="1"/>
  <c r="BC1610" i="1" s="1"/>
  <c r="AX1611" i="1"/>
  <c r="AX1616" i="1"/>
  <c r="AX1619" i="1"/>
  <c r="J1643" i="1"/>
  <c r="J1646" i="1"/>
  <c r="K1576" i="1"/>
  <c r="K1593" i="1"/>
  <c r="BI1556" i="1"/>
  <c r="AE1556" i="1" s="1"/>
  <c r="BI1559" i="1"/>
  <c r="AE1559" i="1" s="1"/>
  <c r="AV1583" i="1"/>
  <c r="AL1586" i="1"/>
  <c r="J1589" i="1"/>
  <c r="K1597" i="1"/>
  <c r="AW1602" i="1"/>
  <c r="AW1603" i="1"/>
  <c r="K1629" i="1"/>
  <c r="K1643" i="1"/>
  <c r="K1646" i="1"/>
  <c r="M1654" i="1"/>
  <c r="AX1660" i="1"/>
  <c r="AV1660" i="1" s="1"/>
  <c r="BI1664" i="1"/>
  <c r="AE1664" i="1" s="1"/>
  <c r="AL1563" i="1"/>
  <c r="AL1597" i="1"/>
  <c r="BI1605" i="1"/>
  <c r="AE1605" i="1" s="1"/>
  <c r="BI1611" i="1"/>
  <c r="AE1611" i="1" s="1"/>
  <c r="BI1616" i="1"/>
  <c r="AE1616" i="1" s="1"/>
  <c r="BI1619" i="1"/>
  <c r="AE1619" i="1" s="1"/>
  <c r="AL1646" i="1"/>
  <c r="AS1553" i="1"/>
  <c r="AX1569" i="1"/>
  <c r="AV1569" i="1" s="1"/>
  <c r="M1583" i="1"/>
  <c r="BI1615" i="1"/>
  <c r="AE1615" i="1" s="1"/>
  <c r="J1637" i="1"/>
  <c r="J1659" i="1"/>
  <c r="AT1553" i="1"/>
  <c r="AW1565" i="1"/>
  <c r="AX1566" i="1"/>
  <c r="AV1566" i="1" s="1"/>
  <c r="AW1568" i="1"/>
  <c r="J1585" i="1"/>
  <c r="AW1586" i="1"/>
  <c r="BC1586" i="1" s="1"/>
  <c r="AW1589" i="1"/>
  <c r="BI1610" i="1"/>
  <c r="AE1610" i="1" s="1"/>
  <c r="AX1624" i="1"/>
  <c r="BC1624" i="1" s="1"/>
  <c r="AX1629" i="1"/>
  <c r="AX1633" i="1"/>
  <c r="AV1633" i="1" s="1"/>
  <c r="AW1637" i="1"/>
  <c r="BC1637" i="1" s="1"/>
  <c r="J1641" i="1"/>
  <c r="AX1643" i="1"/>
  <c r="AV1643" i="1" s="1"/>
  <c r="AW1659" i="1"/>
  <c r="BC1659" i="1" s="1"/>
  <c r="J1662" i="1"/>
  <c r="L1553" i="1"/>
  <c r="F39" i="2" s="1"/>
  <c r="I39" i="2" s="1"/>
  <c r="AL1554" i="1"/>
  <c r="AX1563" i="1"/>
  <c r="BC1563" i="1" s="1"/>
  <c r="AL1573" i="1"/>
  <c r="AX1589" i="1"/>
  <c r="AT1612" i="1"/>
  <c r="AS1621" i="1"/>
  <c r="BH1643" i="1"/>
  <c r="AD1643" i="1" s="1"/>
  <c r="AX1557" i="1"/>
  <c r="AV1557" i="1" s="1"/>
  <c r="AX1580" i="1"/>
  <c r="AV1580" i="1" s="1"/>
  <c r="M1585" i="1"/>
  <c r="BH1586" i="1"/>
  <c r="AD1586" i="1" s="1"/>
  <c r="L1612" i="1"/>
  <c r="F43" i="2" s="1"/>
  <c r="I43" i="2" s="1"/>
  <c r="AL1613" i="1"/>
  <c r="AU1612" i="1" s="1"/>
  <c r="AX1641" i="1"/>
  <c r="AV1641" i="1" s="1"/>
  <c r="J1645" i="1"/>
  <c r="BH1646" i="1"/>
  <c r="AD1646" i="1" s="1"/>
  <c r="BH1655" i="1"/>
  <c r="AD1655" i="1" s="1"/>
  <c r="M1657" i="1"/>
  <c r="K1666" i="1"/>
  <c r="AT1575" i="1"/>
  <c r="M1616" i="1"/>
  <c r="M1643" i="1"/>
  <c r="M1606" i="1"/>
  <c r="J1644" i="1"/>
  <c r="AT1642" i="1"/>
  <c r="L1387" i="1"/>
  <c r="F38" i="2" s="1"/>
  <c r="I38" i="2" s="1"/>
  <c r="AS1387" i="1"/>
  <c r="AT1387" i="1"/>
  <c r="M1386" i="1"/>
  <c r="BI1382" i="1"/>
  <c r="AE1382" i="1" s="1"/>
  <c r="BH1376" i="1"/>
  <c r="AD1376" i="1" s="1"/>
  <c r="J1376" i="1"/>
  <c r="AL1360" i="1"/>
  <c r="AW1344" i="1"/>
  <c r="AX1344" i="1"/>
  <c r="BI1339" i="1"/>
  <c r="AE1339" i="1" s="1"/>
  <c r="M1327" i="1"/>
  <c r="L1269" i="1"/>
  <c r="F37" i="2" s="1"/>
  <c r="I37" i="2" s="1"/>
  <c r="AW1314" i="1"/>
  <c r="AT1269" i="1"/>
  <c r="AW1282" i="1"/>
  <c r="AX1282" i="1"/>
  <c r="M1266" i="1"/>
  <c r="AL1254" i="1"/>
  <c r="M1228" i="1"/>
  <c r="M1242" i="1"/>
  <c r="M1216" i="1"/>
  <c r="BH1202" i="1"/>
  <c r="AD1202" i="1" s="1"/>
  <c r="M1199" i="1"/>
  <c r="J1202" i="1"/>
  <c r="BH1192" i="1"/>
  <c r="AD1192" i="1" s="1"/>
  <c r="AL1185" i="1"/>
  <c r="AS1178" i="1"/>
  <c r="BH1171" i="1"/>
  <c r="AX1176" i="1"/>
  <c r="BI1171" i="1"/>
  <c r="BH1173" i="1"/>
  <c r="BH1174" i="1"/>
  <c r="AL1172" i="1"/>
  <c r="BI1176" i="1"/>
  <c r="AT1178" i="1"/>
  <c r="J1171" i="1"/>
  <c r="M1174" i="1"/>
  <c r="M1158" i="1"/>
  <c r="J1148" i="1"/>
  <c r="K1158" i="1"/>
  <c r="AS1133" i="1"/>
  <c r="AW1148" i="1"/>
  <c r="L1161" i="1"/>
  <c r="F32" i="2" s="1"/>
  <c r="I32" i="2" s="1"/>
  <c r="AT1133" i="1"/>
  <c r="J1137" i="1"/>
  <c r="AX1148" i="1"/>
  <c r="K1154" i="1"/>
  <c r="AW1158" i="1"/>
  <c r="BH1168" i="1"/>
  <c r="AB1168" i="1" s="1"/>
  <c r="AX1158" i="1"/>
  <c r="AW1154" i="1"/>
  <c r="BC1154" i="1" s="1"/>
  <c r="AW1137" i="1"/>
  <c r="BI1154" i="1"/>
  <c r="AC1154" i="1" s="1"/>
  <c r="BH1158" i="1"/>
  <c r="AB1158" i="1" s="1"/>
  <c r="AS1161" i="1"/>
  <c r="M1162" i="1"/>
  <c r="M1168" i="1"/>
  <c r="AS1105" i="1"/>
  <c r="AT1105" i="1"/>
  <c r="AW1106" i="1"/>
  <c r="AX1106" i="1"/>
  <c r="BH1106" i="1"/>
  <c r="AB1106" i="1" s="1"/>
  <c r="BI1106" i="1"/>
  <c r="AC1106" i="1" s="1"/>
  <c r="AS998" i="1"/>
  <c r="F29" i="2"/>
  <c r="I29" i="2" s="1"/>
  <c r="L1105" i="1"/>
  <c r="F30" i="2" s="1"/>
  <c r="I30" i="2" s="1"/>
  <c r="BC993" i="1"/>
  <c r="AV993" i="1"/>
  <c r="BH993" i="1"/>
  <c r="AB993" i="1" s="1"/>
  <c r="J993" i="1"/>
  <c r="K975" i="1"/>
  <c r="BH970" i="1"/>
  <c r="AB970" i="1" s="1"/>
  <c r="BH966" i="1"/>
  <c r="AB966" i="1" s="1"/>
  <c r="M962" i="1"/>
  <c r="BI958" i="1"/>
  <c r="AC958" i="1" s="1"/>
  <c r="K958" i="1"/>
  <c r="BC958" i="1"/>
  <c r="M945" i="1"/>
  <c r="J941" i="1"/>
  <c r="BH937" i="1"/>
  <c r="AB937" i="1" s="1"/>
  <c r="AL921" i="1"/>
  <c r="K921" i="1"/>
  <c r="AX921" i="1"/>
  <c r="BH903" i="1"/>
  <c r="AB903" i="1" s="1"/>
  <c r="AX899" i="1"/>
  <c r="AX896" i="1"/>
  <c r="M889" i="1"/>
  <c r="BH889" i="1"/>
  <c r="AB889" i="1" s="1"/>
  <c r="AS861" i="1"/>
  <c r="J873" i="1"/>
  <c r="AW882" i="1"/>
  <c r="AX882" i="1"/>
  <c r="BH873" i="1"/>
  <c r="AB873" i="1" s="1"/>
  <c r="AL867" i="1"/>
  <c r="K860" i="1"/>
  <c r="K862" i="1"/>
  <c r="AX860" i="1"/>
  <c r="AW862" i="1"/>
  <c r="AV862" i="1" s="1"/>
  <c r="BH859" i="1"/>
  <c r="AB859" i="1" s="1"/>
  <c r="AX844" i="1"/>
  <c r="BI844" i="1"/>
  <c r="AC844" i="1" s="1"/>
  <c r="AW772" i="1"/>
  <c r="BH701" i="1"/>
  <c r="AB701" i="1" s="1"/>
  <c r="BI678" i="1"/>
  <c r="AC678" i="1" s="1"/>
  <c r="L684" i="1"/>
  <c r="F26" i="2" s="1"/>
  <c r="I26" i="2" s="1"/>
  <c r="J678" i="1"/>
  <c r="AS677" i="1"/>
  <c r="AX693" i="1"/>
  <c r="K678" i="1"/>
  <c r="L677" i="1"/>
  <c r="F25" i="2" s="1"/>
  <c r="I25" i="2" s="1"/>
  <c r="AW678" i="1"/>
  <c r="AV678" i="1" s="1"/>
  <c r="BH691" i="1"/>
  <c r="AB691" i="1" s="1"/>
  <c r="BI693" i="1"/>
  <c r="AC693" i="1" s="1"/>
  <c r="AT690" i="1"/>
  <c r="AT684" i="1"/>
  <c r="AS690" i="1"/>
  <c r="BH687" i="1"/>
  <c r="AB687" i="1" s="1"/>
  <c r="BH658" i="1"/>
  <c r="AB658" i="1" s="1"/>
  <c r="L657" i="1"/>
  <c r="F23" i="2" s="1"/>
  <c r="I23" i="2" s="1"/>
  <c r="J658" i="1"/>
  <c r="J657" i="1" s="1"/>
  <c r="D23" i="2" s="1"/>
  <c r="AX624" i="1"/>
  <c r="AV624" i="1" s="1"/>
  <c r="AW640" i="1"/>
  <c r="AX640" i="1"/>
  <c r="BI629" i="1"/>
  <c r="AC629" i="1" s="1"/>
  <c r="J548" i="1"/>
  <c r="BH623" i="1"/>
  <c r="AB623" i="1" s="1"/>
  <c r="BH624" i="1"/>
  <c r="AB624" i="1" s="1"/>
  <c r="BI624" i="1"/>
  <c r="AC624" i="1" s="1"/>
  <c r="J624" i="1"/>
  <c r="AX629" i="1"/>
  <c r="BH639" i="1"/>
  <c r="AB639" i="1" s="1"/>
  <c r="K536" i="1"/>
  <c r="AX536" i="1"/>
  <c r="BI532" i="1"/>
  <c r="AC532" i="1" s="1"/>
  <c r="K532" i="1"/>
  <c r="AV527" i="1"/>
  <c r="J467" i="1"/>
  <c r="M490" i="1"/>
  <c r="M527" i="1"/>
  <c r="AX505" i="1"/>
  <c r="BC505" i="1" s="1"/>
  <c r="K515" i="1"/>
  <c r="AT468" i="1"/>
  <c r="BH467" i="1"/>
  <c r="AB467" i="1" s="1"/>
  <c r="AW526" i="1"/>
  <c r="L468" i="1"/>
  <c r="F22" i="2" s="1"/>
  <c r="I22" i="2" s="1"/>
  <c r="AX481" i="1"/>
  <c r="AV481" i="1" s="1"/>
  <c r="AX460" i="1"/>
  <c r="AS468" i="1"/>
  <c r="BH510" i="1"/>
  <c r="AB510" i="1" s="1"/>
  <c r="BI447" i="1"/>
  <c r="AC447" i="1" s="1"/>
  <c r="AV452" i="1"/>
  <c r="BH450" i="1"/>
  <c r="AB450" i="1" s="1"/>
  <c r="AL447" i="1"/>
  <c r="J384" i="1"/>
  <c r="AS405" i="1"/>
  <c r="AW429" i="1"/>
  <c r="AS361" i="1"/>
  <c r="AX429" i="1"/>
  <c r="AW443" i="1"/>
  <c r="BI429" i="1"/>
  <c r="AC429" i="1" s="1"/>
  <c r="AW364" i="1"/>
  <c r="AV364" i="1" s="1"/>
  <c r="BI413" i="1"/>
  <c r="AC413" i="1" s="1"/>
  <c r="BI364" i="1"/>
  <c r="AC364" i="1" s="1"/>
  <c r="AT405" i="1"/>
  <c r="K353" i="1"/>
  <c r="AX353" i="1"/>
  <c r="AV353" i="1" s="1"/>
  <c r="BH353" i="1"/>
  <c r="AB353" i="1" s="1"/>
  <c r="BI349" i="1"/>
  <c r="AC349" i="1" s="1"/>
  <c r="AX298" i="1"/>
  <c r="AV298" i="1" s="1"/>
  <c r="BI298" i="1"/>
  <c r="AC298" i="1" s="1"/>
  <c r="J337" i="1"/>
  <c r="K337" i="1"/>
  <c r="J298" i="1"/>
  <c r="BH337" i="1"/>
  <c r="AB337" i="1" s="1"/>
  <c r="AW284" i="1"/>
  <c r="AV284" i="1" s="1"/>
  <c r="BC277" i="1"/>
  <c r="BI277" i="1"/>
  <c r="AC277" i="1" s="1"/>
  <c r="BI273" i="1"/>
  <c r="AC273" i="1" s="1"/>
  <c r="K274" i="1"/>
  <c r="K273" i="1"/>
  <c r="AX270" i="1"/>
  <c r="AV270" i="1" s="1"/>
  <c r="BI270" i="1"/>
  <c r="AC270" i="1" s="1"/>
  <c r="J270" i="1"/>
  <c r="AT209" i="1"/>
  <c r="BC236" i="1"/>
  <c r="AS209" i="1"/>
  <c r="BI202" i="1"/>
  <c r="AC202" i="1" s="1"/>
  <c r="AX213" i="1"/>
  <c r="AV213" i="1" s="1"/>
  <c r="BI217" i="1"/>
  <c r="AC217" i="1" s="1"/>
  <c r="BI213" i="1"/>
  <c r="AC213" i="1" s="1"/>
  <c r="L127" i="1"/>
  <c r="F18" i="2" s="1"/>
  <c r="I18" i="2" s="1"/>
  <c r="AW212" i="1"/>
  <c r="BC212" i="1" s="1"/>
  <c r="BI212" i="1"/>
  <c r="AC212" i="1" s="1"/>
  <c r="AV217" i="1"/>
  <c r="AS127" i="1"/>
  <c r="AV180" i="1"/>
  <c r="BI128" i="1"/>
  <c r="AC128" i="1" s="1"/>
  <c r="AT127" i="1"/>
  <c r="L111" i="1"/>
  <c r="F16" i="2" s="1"/>
  <c r="I16" i="2" s="1"/>
  <c r="AW123" i="1"/>
  <c r="BC123" i="1" s="1"/>
  <c r="BH123" i="1"/>
  <c r="AB123" i="1" s="1"/>
  <c r="BI123" i="1"/>
  <c r="AC123" i="1" s="1"/>
  <c r="AS120" i="1"/>
  <c r="AW73" i="1"/>
  <c r="BC73" i="1" s="1"/>
  <c r="AT75" i="1"/>
  <c r="AX112" i="1"/>
  <c r="AV112" i="1" s="1"/>
  <c r="C20" i="3"/>
  <c r="AX65" i="1"/>
  <c r="AV65" i="1" s="1"/>
  <c r="AW85" i="1"/>
  <c r="AV85" i="1" s="1"/>
  <c r="L14" i="1"/>
  <c r="F13" i="2" s="1"/>
  <c r="I13" i="2" s="1"/>
  <c r="BI73" i="1"/>
  <c r="AC73" i="1" s="1"/>
  <c r="AS75" i="1"/>
  <c r="AV15" i="1"/>
  <c r="L75" i="1"/>
  <c r="F14" i="2" s="1"/>
  <c r="I14" i="2" s="1"/>
  <c r="AU127" i="1"/>
  <c r="BC223" i="1"/>
  <c r="AV81" i="1"/>
  <c r="BC81" i="1"/>
  <c r="BC420" i="1"/>
  <c r="AV420" i="1"/>
  <c r="AU361" i="1"/>
  <c r="BC384" i="1"/>
  <c r="AV384" i="1"/>
  <c r="BC217" i="1"/>
  <c r="AU14" i="1"/>
  <c r="AU209" i="1"/>
  <c r="AU75" i="1"/>
  <c r="AV337" i="1"/>
  <c r="BC337" i="1"/>
  <c r="AU120" i="1"/>
  <c r="AV172" i="1"/>
  <c r="BC172" i="1"/>
  <c r="AV91" i="1"/>
  <c r="BC91" i="1"/>
  <c r="M469" i="1"/>
  <c r="AX490" i="1"/>
  <c r="BC490" i="1" s="1"/>
  <c r="BI490" i="1"/>
  <c r="AC490" i="1" s="1"/>
  <c r="K490" i="1"/>
  <c r="M629" i="1"/>
  <c r="C28" i="3"/>
  <c r="F28" i="3" s="1"/>
  <c r="L120" i="1"/>
  <c r="F17" i="2" s="1"/>
  <c r="I17" i="2" s="1"/>
  <c r="L209" i="1"/>
  <c r="F19" i="2" s="1"/>
  <c r="I19" i="2" s="1"/>
  <c r="L361" i="1"/>
  <c r="F20" i="2" s="1"/>
  <c r="I20" i="2" s="1"/>
  <c r="L405" i="1"/>
  <c r="F21" i="2" s="1"/>
  <c r="I21" i="2" s="1"/>
  <c r="AX440" i="1"/>
  <c r="BI440" i="1"/>
  <c r="AC440" i="1" s="1"/>
  <c r="K440" i="1"/>
  <c r="M443" i="1"/>
  <c r="O468" i="1"/>
  <c r="G22" i="2" s="1"/>
  <c r="AX469" i="1"/>
  <c r="AV469" i="1" s="1"/>
  <c r="BI469" i="1"/>
  <c r="AC469" i="1" s="1"/>
  <c r="K469" i="1"/>
  <c r="BC527" i="1"/>
  <c r="AL681" i="1"/>
  <c r="AU677" i="1" s="1"/>
  <c r="AL685" i="1"/>
  <c r="AL844" i="1"/>
  <c r="BC889" i="1"/>
  <c r="AV889" i="1"/>
  <c r="BH921" i="1"/>
  <c r="AB921" i="1" s="1"/>
  <c r="J921" i="1"/>
  <c r="AW921" i="1"/>
  <c r="BC980" i="1"/>
  <c r="AV980" i="1"/>
  <c r="AW1595" i="1"/>
  <c r="J1595" i="1"/>
  <c r="BH1595" i="1"/>
  <c r="AD1595" i="1" s="1"/>
  <c r="BF1668" i="1"/>
  <c r="O1650" i="1"/>
  <c r="G47" i="2" s="1"/>
  <c r="K1673" i="1"/>
  <c r="BI1673" i="1"/>
  <c r="AX1673" i="1"/>
  <c r="C27" i="3"/>
  <c r="M15" i="1"/>
  <c r="AW67" i="1"/>
  <c r="M73" i="1"/>
  <c r="M76" i="1"/>
  <c r="AW83" i="1"/>
  <c r="M85" i="1"/>
  <c r="AW119" i="1"/>
  <c r="AW121" i="1"/>
  <c r="M123" i="1"/>
  <c r="M128" i="1"/>
  <c r="AW136" i="1"/>
  <c r="M151" i="1"/>
  <c r="AW176" i="1"/>
  <c r="M180" i="1"/>
  <c r="AW199" i="1"/>
  <c r="M202" i="1"/>
  <c r="AW206" i="1"/>
  <c r="AW210" i="1"/>
  <c r="M212" i="1"/>
  <c r="AW214" i="1"/>
  <c r="M217" i="1"/>
  <c r="AW229" i="1"/>
  <c r="M236" i="1"/>
  <c r="AW253" i="1"/>
  <c r="M269" i="1"/>
  <c r="AW272" i="1"/>
  <c r="M273" i="1"/>
  <c r="AW276" i="1"/>
  <c r="M277" i="1"/>
  <c r="AW279" i="1"/>
  <c r="M284" i="1"/>
  <c r="AW309" i="1"/>
  <c r="M336" i="1"/>
  <c r="AW343" i="1"/>
  <c r="M349" i="1"/>
  <c r="AW357" i="1"/>
  <c r="AW362" i="1"/>
  <c r="M364" i="1"/>
  <c r="AW404" i="1"/>
  <c r="AW406" i="1"/>
  <c r="M413" i="1"/>
  <c r="BH420" i="1"/>
  <c r="AB420" i="1" s="1"/>
  <c r="AX504" i="1"/>
  <c r="AV504" i="1" s="1"/>
  <c r="M681" i="1"/>
  <c r="BH681" i="1"/>
  <c r="AB681" i="1" s="1"/>
  <c r="J681" i="1"/>
  <c r="AW681" i="1"/>
  <c r="M685" i="1"/>
  <c r="BH685" i="1"/>
  <c r="AB685" i="1" s="1"/>
  <c r="J685" i="1"/>
  <c r="J684" i="1" s="1"/>
  <c r="D26" i="2" s="1"/>
  <c r="AW685" i="1"/>
  <c r="BH844" i="1"/>
  <c r="AB844" i="1" s="1"/>
  <c r="J844" i="1"/>
  <c r="AW844" i="1"/>
  <c r="AL1137" i="1"/>
  <c r="M1137" i="1"/>
  <c r="BH1179" i="1"/>
  <c r="AD1179" i="1" s="1"/>
  <c r="J1179" i="1"/>
  <c r="AW1179" i="1"/>
  <c r="AV1192" i="1"/>
  <c r="BC1192" i="1"/>
  <c r="AL1568" i="1"/>
  <c r="M1568" i="1"/>
  <c r="BI1595" i="1"/>
  <c r="AE1595" i="1" s="1"/>
  <c r="K1595" i="1"/>
  <c r="AX1595" i="1"/>
  <c r="AX687" i="1"/>
  <c r="BC687" i="1" s="1"/>
  <c r="BI687" i="1"/>
  <c r="AC687" i="1" s="1"/>
  <c r="K687" i="1"/>
  <c r="AL1256" i="1"/>
  <c r="M1256" i="1"/>
  <c r="J65" i="1"/>
  <c r="BH65" i="1"/>
  <c r="AB65" i="1" s="1"/>
  <c r="AX67" i="1"/>
  <c r="J81" i="1"/>
  <c r="BH81" i="1"/>
  <c r="AB81" i="1" s="1"/>
  <c r="AX83" i="1"/>
  <c r="J86" i="1"/>
  <c r="BH86" i="1"/>
  <c r="AB86" i="1" s="1"/>
  <c r="J91" i="1"/>
  <c r="J90" i="1" s="1"/>
  <c r="D15" i="2" s="1"/>
  <c r="BH91" i="1"/>
  <c r="AB91" i="1" s="1"/>
  <c r="J112" i="1"/>
  <c r="BH112" i="1"/>
  <c r="AB112" i="1" s="1"/>
  <c r="AX119" i="1"/>
  <c r="O120" i="1"/>
  <c r="G17" i="2" s="1"/>
  <c r="AX121" i="1"/>
  <c r="J130" i="1"/>
  <c r="BH130" i="1"/>
  <c r="AB130" i="1" s="1"/>
  <c r="AX136" i="1"/>
  <c r="J172" i="1"/>
  <c r="BH172" i="1"/>
  <c r="AB172" i="1" s="1"/>
  <c r="AX176" i="1"/>
  <c r="J192" i="1"/>
  <c r="BH192" i="1"/>
  <c r="AB192" i="1" s="1"/>
  <c r="AX199" i="1"/>
  <c r="J205" i="1"/>
  <c r="BH205" i="1"/>
  <c r="AB205" i="1" s="1"/>
  <c r="AX206" i="1"/>
  <c r="O209" i="1"/>
  <c r="G19" i="2" s="1"/>
  <c r="AX210" i="1"/>
  <c r="BH213" i="1"/>
  <c r="AB213" i="1" s="1"/>
  <c r="AX214" i="1"/>
  <c r="BH223" i="1"/>
  <c r="AB223" i="1" s="1"/>
  <c r="AX229" i="1"/>
  <c r="BH247" i="1"/>
  <c r="AB247" i="1" s="1"/>
  <c r="AX253" i="1"/>
  <c r="AX272" i="1"/>
  <c r="AX276" i="1"/>
  <c r="AX279" i="1"/>
  <c r="AX309" i="1"/>
  <c r="AX343" i="1"/>
  <c r="AX357" i="1"/>
  <c r="O361" i="1"/>
  <c r="G20" i="2" s="1"/>
  <c r="AX362" i="1"/>
  <c r="AX404" i="1"/>
  <c r="O405" i="1"/>
  <c r="G21" i="2" s="1"/>
  <c r="AX406" i="1"/>
  <c r="AW440" i="1"/>
  <c r="J450" i="1"/>
  <c r="AX475" i="1"/>
  <c r="BH525" i="1"/>
  <c r="AB525" i="1" s="1"/>
  <c r="AX623" i="1"/>
  <c r="BC623" i="1" s="1"/>
  <c r="BI623" i="1"/>
  <c r="AC623" i="1" s="1"/>
  <c r="K623" i="1"/>
  <c r="BF685" i="1"/>
  <c r="O684" i="1"/>
  <c r="G26" i="2" s="1"/>
  <c r="BH945" i="1"/>
  <c r="AB945" i="1" s="1"/>
  <c r="J945" i="1"/>
  <c r="AW945" i="1"/>
  <c r="L1133" i="1"/>
  <c r="F31" i="2" s="1"/>
  <c r="I31" i="2" s="1"/>
  <c r="M1134" i="1"/>
  <c r="L1175" i="1"/>
  <c r="F34" i="2" s="1"/>
  <c r="I34" i="2" s="1"/>
  <c r="M1176" i="1"/>
  <c r="M1175" i="1" s="1"/>
  <c r="O1621" i="1"/>
  <c r="G44" i="2" s="1"/>
  <c r="BF1622" i="1"/>
  <c r="AX510" i="1"/>
  <c r="BI510" i="1"/>
  <c r="AC510" i="1" s="1"/>
  <c r="K510" i="1"/>
  <c r="BC966" i="1"/>
  <c r="AV966" i="1"/>
  <c r="BC1165" i="1"/>
  <c r="AV1165" i="1"/>
  <c r="AT677" i="1"/>
  <c r="AV1256" i="1"/>
  <c r="BC1256" i="1"/>
  <c r="C21" i="3"/>
  <c r="BH447" i="1"/>
  <c r="AB447" i="1" s="1"/>
  <c r="J447" i="1"/>
  <c r="BI526" i="1"/>
  <c r="AC526" i="1" s="1"/>
  <c r="BC701" i="1"/>
  <c r="AV701" i="1"/>
  <c r="BC903" i="1"/>
  <c r="AV903" i="1"/>
  <c r="BC1173" i="1"/>
  <c r="AV1173" i="1"/>
  <c r="BF1179" i="1"/>
  <c r="O1178" i="1"/>
  <c r="G36" i="2" s="1"/>
  <c r="O1387" i="1"/>
  <c r="G38" i="2" s="1"/>
  <c r="BH481" i="1"/>
  <c r="AB481" i="1" s="1"/>
  <c r="J481" i="1"/>
  <c r="AL1668" i="1"/>
  <c r="M1668" i="1"/>
  <c r="L1650" i="1"/>
  <c r="F47" i="2" s="1"/>
  <c r="I47" i="2" s="1"/>
  <c r="M450" i="1"/>
  <c r="AL452" i="1"/>
  <c r="M452" i="1"/>
  <c r="BH490" i="1"/>
  <c r="AB490" i="1" s="1"/>
  <c r="BH584" i="1"/>
  <c r="AB584" i="1" s="1"/>
  <c r="J584" i="1"/>
  <c r="AW584" i="1"/>
  <c r="AX651" i="1"/>
  <c r="AV651" i="1" s="1"/>
  <c r="BI651" i="1"/>
  <c r="AC651" i="1" s="1"/>
  <c r="K651" i="1"/>
  <c r="AL886" i="1"/>
  <c r="BH962" i="1"/>
  <c r="AB962" i="1" s="1"/>
  <c r="J962" i="1"/>
  <c r="AW962" i="1"/>
  <c r="AL469" i="1"/>
  <c r="BH505" i="1"/>
  <c r="AB505" i="1" s="1"/>
  <c r="J505" i="1"/>
  <c r="AW1673" i="1"/>
  <c r="J1673" i="1"/>
  <c r="BH1673" i="1"/>
  <c r="M65" i="1"/>
  <c r="BF67" i="1"/>
  <c r="M81" i="1"/>
  <c r="BF83" i="1"/>
  <c r="M86" i="1"/>
  <c r="M91" i="1"/>
  <c r="M90" i="1" s="1"/>
  <c r="AL91" i="1"/>
  <c r="AU90" i="1" s="1"/>
  <c r="M112" i="1"/>
  <c r="AL112" i="1"/>
  <c r="AU111" i="1" s="1"/>
  <c r="M130" i="1"/>
  <c r="BF136" i="1"/>
  <c r="M172" i="1"/>
  <c r="M192" i="1"/>
  <c r="M205" i="1"/>
  <c r="M213" i="1"/>
  <c r="M223" i="1"/>
  <c r="M247" i="1"/>
  <c r="M270" i="1"/>
  <c r="M274" i="1"/>
  <c r="M278" i="1"/>
  <c r="M298" i="1"/>
  <c r="M337" i="1"/>
  <c r="M353" i="1"/>
  <c r="M384" i="1"/>
  <c r="M420" i="1"/>
  <c r="M460" i="1"/>
  <c r="AL467" i="1"/>
  <c r="BH469" i="1"/>
  <c r="AB469" i="1" s="1"/>
  <c r="BI504" i="1"/>
  <c r="AC504" i="1" s="1"/>
  <c r="AL650" i="1"/>
  <c r="L861" i="1"/>
  <c r="F28" i="2" s="1"/>
  <c r="I28" i="2" s="1"/>
  <c r="BH886" i="1"/>
  <c r="AB886" i="1" s="1"/>
  <c r="J886" i="1"/>
  <c r="AW886" i="1"/>
  <c r="AL481" i="1"/>
  <c r="BC2531" i="1"/>
  <c r="AV2531" i="1"/>
  <c r="BH867" i="1"/>
  <c r="AB867" i="1" s="1"/>
  <c r="J867" i="1"/>
  <c r="AW867" i="1"/>
  <c r="J67" i="1"/>
  <c r="J83" i="1"/>
  <c r="J119" i="1"/>
  <c r="J121" i="1"/>
  <c r="J120" i="1" s="1"/>
  <c r="D17" i="2" s="1"/>
  <c r="J136" i="1"/>
  <c r="J176" i="1"/>
  <c r="J199" i="1"/>
  <c r="J206" i="1"/>
  <c r="J210" i="1"/>
  <c r="J214" i="1"/>
  <c r="J229" i="1"/>
  <c r="J253" i="1"/>
  <c r="J272" i="1"/>
  <c r="J276" i="1"/>
  <c r="J279" i="1"/>
  <c r="J309" i="1"/>
  <c r="J343" i="1"/>
  <c r="J357" i="1"/>
  <c r="J362" i="1"/>
  <c r="J404" i="1"/>
  <c r="J406" i="1"/>
  <c r="BH440" i="1"/>
  <c r="AB440" i="1" s="1"/>
  <c r="AW447" i="1"/>
  <c r="AX450" i="1"/>
  <c r="BC450" i="1" s="1"/>
  <c r="BI450" i="1"/>
  <c r="AC450" i="1" s="1"/>
  <c r="K450" i="1"/>
  <c r="BH460" i="1"/>
  <c r="AB460" i="1" s="1"/>
  <c r="J460" i="1"/>
  <c r="BI475" i="1"/>
  <c r="AC475" i="1" s="1"/>
  <c r="J525" i="1"/>
  <c r="AL532" i="1"/>
  <c r="M532" i="1"/>
  <c r="AL536" i="1"/>
  <c r="BH650" i="1"/>
  <c r="AB650" i="1" s="1"/>
  <c r="J650" i="1"/>
  <c r="AW650" i="1"/>
  <c r="L690" i="1"/>
  <c r="F27" i="2" s="1"/>
  <c r="I27" i="2" s="1"/>
  <c r="AL697" i="1"/>
  <c r="BC937" i="1"/>
  <c r="AV937" i="1"/>
  <c r="BH975" i="1"/>
  <c r="AB975" i="1" s="1"/>
  <c r="J975" i="1"/>
  <c r="AW975" i="1"/>
  <c r="J1136" i="1"/>
  <c r="BH1136" i="1"/>
  <c r="AB1136" i="1" s="1"/>
  <c r="AW1136" i="1"/>
  <c r="AW1185" i="1"/>
  <c r="J1185" i="1"/>
  <c r="BH1185" i="1"/>
  <c r="AD1185" i="1" s="1"/>
  <c r="AX1360" i="1"/>
  <c r="K1360" i="1"/>
  <c r="BI1360" i="1"/>
  <c r="AE1360" i="1" s="1"/>
  <c r="BH1561" i="1"/>
  <c r="AD1561" i="1" s="1"/>
  <c r="J1561" i="1"/>
  <c r="AW1561" i="1"/>
  <c r="BI1614" i="1"/>
  <c r="AE1614" i="1" s="1"/>
  <c r="K1614" i="1"/>
  <c r="AX1614" i="1"/>
  <c r="AS14" i="1"/>
  <c r="K67" i="1"/>
  <c r="K83" i="1"/>
  <c r="K119" i="1"/>
  <c r="K121" i="1"/>
  <c r="K136" i="1"/>
  <c r="K176" i="1"/>
  <c r="K199" i="1"/>
  <c r="K206" i="1"/>
  <c r="K210" i="1"/>
  <c r="K214" i="1"/>
  <c r="K229" i="1"/>
  <c r="K253" i="1"/>
  <c r="K272" i="1"/>
  <c r="K276" i="1"/>
  <c r="K279" i="1"/>
  <c r="K309" i="1"/>
  <c r="K343" i="1"/>
  <c r="K357" i="1"/>
  <c r="K362" i="1"/>
  <c r="K404" i="1"/>
  <c r="K406" i="1"/>
  <c r="BC452" i="1"/>
  <c r="AX467" i="1"/>
  <c r="AV467" i="1" s="1"/>
  <c r="BI467" i="1"/>
  <c r="AC467" i="1" s="1"/>
  <c r="K467" i="1"/>
  <c r="AL526" i="1"/>
  <c r="M526" i="1"/>
  <c r="BH536" i="1"/>
  <c r="AB536" i="1" s="1"/>
  <c r="J536" i="1"/>
  <c r="AX542" i="1"/>
  <c r="BI542" i="1"/>
  <c r="AC542" i="1" s="1"/>
  <c r="K542" i="1"/>
  <c r="BC658" i="1"/>
  <c r="M697" i="1"/>
  <c r="BH697" i="1"/>
  <c r="AB697" i="1" s="1"/>
  <c r="J697" i="1"/>
  <c r="AW697" i="1"/>
  <c r="O861" i="1"/>
  <c r="G28" i="2" s="1"/>
  <c r="BC873" i="1"/>
  <c r="AV873" i="1"/>
  <c r="AX1185" i="1"/>
  <c r="K1185" i="1"/>
  <c r="BI1185" i="1"/>
  <c r="AE1185" i="1" s="1"/>
  <c r="BI1259" i="1"/>
  <c r="AE1259" i="1" s="1"/>
  <c r="K1259" i="1"/>
  <c r="AX1259" i="1"/>
  <c r="AV1259" i="1" s="1"/>
  <c r="AL475" i="1"/>
  <c r="M475" i="1"/>
  <c r="J490" i="1"/>
  <c r="AL515" i="1"/>
  <c r="M515" i="1"/>
  <c r="AL520" i="1"/>
  <c r="BH527" i="1"/>
  <c r="AB527" i="1" s="1"/>
  <c r="J527" i="1"/>
  <c r="AX528" i="1"/>
  <c r="BI528" i="1"/>
  <c r="AC528" i="1" s="1"/>
  <c r="K528" i="1"/>
  <c r="BC954" i="1"/>
  <c r="AV954" i="1"/>
  <c r="AL1136" i="1"/>
  <c r="M1136" i="1"/>
  <c r="AW1199" i="1"/>
  <c r="BH1199" i="1"/>
  <c r="AD1199" i="1" s="1"/>
  <c r="J1199" i="1"/>
  <c r="AX1311" i="1"/>
  <c r="K1311" i="1"/>
  <c r="BI1311" i="1"/>
  <c r="AE1311" i="1" s="1"/>
  <c r="BI1558" i="1"/>
  <c r="AE1558" i="1" s="1"/>
  <c r="K1558" i="1"/>
  <c r="AX1558" i="1"/>
  <c r="BH629" i="1"/>
  <c r="AB629" i="1" s="1"/>
  <c r="J629" i="1"/>
  <c r="AW629" i="1"/>
  <c r="M67" i="1"/>
  <c r="M83" i="1"/>
  <c r="M119" i="1"/>
  <c r="M121" i="1"/>
  <c r="M136" i="1"/>
  <c r="M176" i="1"/>
  <c r="M199" i="1"/>
  <c r="M206" i="1"/>
  <c r="M210" i="1"/>
  <c r="M214" i="1"/>
  <c r="M229" i="1"/>
  <c r="M253" i="1"/>
  <c r="M272" i="1"/>
  <c r="M276" i="1"/>
  <c r="M279" i="1"/>
  <c r="M309" i="1"/>
  <c r="M343" i="1"/>
  <c r="M357" i="1"/>
  <c r="M362" i="1"/>
  <c r="M404" i="1"/>
  <c r="M406" i="1"/>
  <c r="AW460" i="1"/>
  <c r="J469" i="1"/>
  <c r="AL504" i="1"/>
  <c r="M504" i="1"/>
  <c r="BH520" i="1"/>
  <c r="AB520" i="1" s="1"/>
  <c r="J520" i="1"/>
  <c r="AX525" i="1"/>
  <c r="BI525" i="1"/>
  <c r="AC525" i="1" s="1"/>
  <c r="K525" i="1"/>
  <c r="AW536" i="1"/>
  <c r="AX639" i="1"/>
  <c r="AV639" i="1" s="1"/>
  <c r="BI639" i="1"/>
  <c r="AC639" i="1" s="1"/>
  <c r="K639" i="1"/>
  <c r="O677" i="1"/>
  <c r="G25" i="2" s="1"/>
  <c r="BC691" i="1"/>
  <c r="AV691" i="1"/>
  <c r="BC859" i="1"/>
  <c r="AV859" i="1"/>
  <c r="AT861" i="1"/>
  <c r="BH899" i="1"/>
  <c r="AB899" i="1" s="1"/>
  <c r="J899" i="1"/>
  <c r="AW899" i="1"/>
  <c r="G29" i="2"/>
  <c r="AT998" i="1"/>
  <c r="BI1199" i="1"/>
  <c r="AE1199" i="1" s="1"/>
  <c r="K1199" i="1"/>
  <c r="AX1199" i="1"/>
  <c r="BF1558" i="1"/>
  <c r="O1553" i="1"/>
  <c r="G39" i="2" s="1"/>
  <c r="AW1134" i="1"/>
  <c r="BH1134" i="1"/>
  <c r="AB1134" i="1" s="1"/>
  <c r="J1134" i="1"/>
  <c r="AL1138" i="1"/>
  <c r="AL1145" i="1"/>
  <c r="M1145" i="1"/>
  <c r="BH1254" i="1"/>
  <c r="AD1254" i="1" s="1"/>
  <c r="J1254" i="1"/>
  <c r="AW1254" i="1"/>
  <c r="AS1269" i="1"/>
  <c r="AL1382" i="1"/>
  <c r="M1382" i="1"/>
  <c r="BI1561" i="1"/>
  <c r="AE1561" i="1" s="1"/>
  <c r="K1561" i="1"/>
  <c r="AX1561" i="1"/>
  <c r="J1588" i="1"/>
  <c r="BH1588" i="1"/>
  <c r="AD1588" i="1" s="1"/>
  <c r="AW1588" i="1"/>
  <c r="BH1600" i="1"/>
  <c r="AD1600" i="1" s="1"/>
  <c r="J1600" i="1"/>
  <c r="AL1608" i="1"/>
  <c r="M1608" i="1"/>
  <c r="O1612" i="1"/>
  <c r="G43" i="2" s="1"/>
  <c r="BF1614" i="1"/>
  <c r="BI1855" i="1"/>
  <c r="AE1855" i="1" s="1"/>
  <c r="K1855" i="1"/>
  <c r="AX1855" i="1"/>
  <c r="K691" i="1"/>
  <c r="BI691" i="1"/>
  <c r="AC691" i="1" s="1"/>
  <c r="K701" i="1"/>
  <c r="BI701" i="1"/>
  <c r="AC701" i="1" s="1"/>
  <c r="K859" i="1"/>
  <c r="BI859" i="1"/>
  <c r="AC859" i="1" s="1"/>
  <c r="K873" i="1"/>
  <c r="BI873" i="1"/>
  <c r="AC873" i="1" s="1"/>
  <c r="K889" i="1"/>
  <c r="BI889" i="1"/>
  <c r="AC889" i="1" s="1"/>
  <c r="K903" i="1"/>
  <c r="BI903" i="1"/>
  <c r="AC903" i="1" s="1"/>
  <c r="K937" i="1"/>
  <c r="BI937" i="1"/>
  <c r="AC937" i="1" s="1"/>
  <c r="K954" i="1"/>
  <c r="BI954" i="1"/>
  <c r="AC954" i="1" s="1"/>
  <c r="K966" i="1"/>
  <c r="BI966" i="1"/>
  <c r="AC966" i="1" s="1"/>
  <c r="K980" i="1"/>
  <c r="BI980" i="1"/>
  <c r="AC980" i="1" s="1"/>
  <c r="BI1134" i="1"/>
  <c r="AC1134" i="1" s="1"/>
  <c r="K1134" i="1"/>
  <c r="AW1138" i="1"/>
  <c r="BH1138" i="1"/>
  <c r="AB1138" i="1" s="1"/>
  <c r="J1138" i="1"/>
  <c r="M1148" i="1"/>
  <c r="AL1154" i="1"/>
  <c r="M1154" i="1"/>
  <c r="BI1202" i="1"/>
  <c r="AE1202" i="1" s="1"/>
  <c r="AL1282" i="1"/>
  <c r="M1282" i="1"/>
  <c r="AL1344" i="1"/>
  <c r="M1344" i="1"/>
  <c r="BI1386" i="1"/>
  <c r="K1386" i="1"/>
  <c r="BH1564" i="1"/>
  <c r="AD1564" i="1" s="1"/>
  <c r="J1564" i="1"/>
  <c r="AW1564" i="1"/>
  <c r="AL1571" i="1"/>
  <c r="M1571" i="1"/>
  <c r="L1575" i="1"/>
  <c r="F40" i="2" s="1"/>
  <c r="I40" i="2" s="1"/>
  <c r="AL1576" i="1"/>
  <c r="M1576" i="1"/>
  <c r="K1588" i="1"/>
  <c r="BI1588" i="1"/>
  <c r="AE1588" i="1" s="1"/>
  <c r="AX1588" i="1"/>
  <c r="BH1597" i="1"/>
  <c r="AD1597" i="1" s="1"/>
  <c r="J1597" i="1"/>
  <c r="AW1597" i="1"/>
  <c r="AS1604" i="1"/>
  <c r="BI1627" i="1"/>
  <c r="AE1627" i="1" s="1"/>
  <c r="AX1627" i="1"/>
  <c r="AL1647" i="1"/>
  <c r="M1647" i="1"/>
  <c r="AW1649" i="1"/>
  <c r="J1649" i="1"/>
  <c r="BH1649" i="1"/>
  <c r="AD1649" i="1" s="1"/>
  <c r="BI1138" i="1"/>
  <c r="AC1138" i="1" s="1"/>
  <c r="K1138" i="1"/>
  <c r="AW1151" i="1"/>
  <c r="BH1151" i="1"/>
  <c r="AB1151" i="1" s="1"/>
  <c r="J1151" i="1"/>
  <c r="AL1160" i="1"/>
  <c r="BI1165" i="1"/>
  <c r="AC1165" i="1" s="1"/>
  <c r="J1173" i="1"/>
  <c r="AX1179" i="1"/>
  <c r="J1228" i="1"/>
  <c r="BH1268" i="1"/>
  <c r="J1268" i="1"/>
  <c r="AW1268" i="1"/>
  <c r="BI1297" i="1"/>
  <c r="AE1297" i="1" s="1"/>
  <c r="K1297" i="1"/>
  <c r="BI1355" i="1"/>
  <c r="AE1355" i="1" s="1"/>
  <c r="K1355" i="1"/>
  <c r="AX1386" i="1"/>
  <c r="BC1386" i="1" s="1"/>
  <c r="BI1564" i="1"/>
  <c r="AE1564" i="1" s="1"/>
  <c r="K1564" i="1"/>
  <c r="AX1564" i="1"/>
  <c r="AL1579" i="1"/>
  <c r="M1579" i="1"/>
  <c r="BC1583" i="1"/>
  <c r="M1588" i="1"/>
  <c r="J1594" i="1"/>
  <c r="BH1594" i="1"/>
  <c r="AD1594" i="1" s="1"/>
  <c r="AW1600" i="1"/>
  <c r="BI1620" i="1"/>
  <c r="AE1620" i="1" s="1"/>
  <c r="K1620" i="1"/>
  <c r="AX1620" i="1"/>
  <c r="M903" i="1"/>
  <c r="M937" i="1"/>
  <c r="M954" i="1"/>
  <c r="M966" i="1"/>
  <c r="M980" i="1"/>
  <c r="AX1134" i="1"/>
  <c r="AW1145" i="1"/>
  <c r="BI1151" i="1"/>
  <c r="AC1151" i="1" s="1"/>
  <c r="K1151" i="1"/>
  <c r="AW1160" i="1"/>
  <c r="BH1160" i="1"/>
  <c r="AB1160" i="1" s="1"/>
  <c r="J1160" i="1"/>
  <c r="K1173" i="1"/>
  <c r="K1228" i="1"/>
  <c r="AL1239" i="1"/>
  <c r="M1239" i="1"/>
  <c r="BH1270" i="1"/>
  <c r="AD1270" i="1" s="1"/>
  <c r="J1270" i="1"/>
  <c r="AW1270" i="1"/>
  <c r="AX1297" i="1"/>
  <c r="AV1297" i="1" s="1"/>
  <c r="BH1339" i="1"/>
  <c r="AD1339" i="1" s="1"/>
  <c r="J1339" i="1"/>
  <c r="AW1339" i="1"/>
  <c r="AX1355" i="1"/>
  <c r="BC1355" i="1" s="1"/>
  <c r="BH1380" i="1"/>
  <c r="AD1380" i="1" s="1"/>
  <c r="J1380" i="1"/>
  <c r="AW1380" i="1"/>
  <c r="AL1556" i="1"/>
  <c r="M1556" i="1"/>
  <c r="BH1567" i="1"/>
  <c r="AD1567" i="1" s="1"/>
  <c r="J1567" i="1"/>
  <c r="AW1567" i="1"/>
  <c r="AL1574" i="1"/>
  <c r="M1574" i="1"/>
  <c r="AL1582" i="1"/>
  <c r="M1582" i="1"/>
  <c r="BF1594" i="1"/>
  <c r="O1592" i="1"/>
  <c r="G41" i="2" s="1"/>
  <c r="K1596" i="1"/>
  <c r="BI1596" i="1"/>
  <c r="AE1596" i="1" s="1"/>
  <c r="AX1596" i="1"/>
  <c r="BC1596" i="1" s="1"/>
  <c r="BI1160" i="1"/>
  <c r="AC1160" i="1" s="1"/>
  <c r="K1160" i="1"/>
  <c r="AL1173" i="1"/>
  <c r="M1173" i="1"/>
  <c r="AL1264" i="1"/>
  <c r="M1264" i="1"/>
  <c r="BI1567" i="1"/>
  <c r="AE1567" i="1" s="1"/>
  <c r="K1567" i="1"/>
  <c r="AX1567" i="1"/>
  <c r="AW1594" i="1"/>
  <c r="AL1596" i="1"/>
  <c r="M1596" i="1"/>
  <c r="L1592" i="1"/>
  <c r="F41" i="2" s="1"/>
  <c r="I41" i="2" s="1"/>
  <c r="AW1172" i="1"/>
  <c r="BH1172" i="1"/>
  <c r="J1172" i="1"/>
  <c r="BI1179" i="1"/>
  <c r="AE1179" i="1" s="1"/>
  <c r="BI1242" i="1"/>
  <c r="AE1242" i="1" s="1"/>
  <c r="K1242" i="1"/>
  <c r="BI1266" i="1"/>
  <c r="AE1266" i="1" s="1"/>
  <c r="K1266" i="1"/>
  <c r="O1269" i="1"/>
  <c r="G37" i="2" s="1"/>
  <c r="AL1559" i="1"/>
  <c r="M1559" i="1"/>
  <c r="BH1570" i="1"/>
  <c r="AD1570" i="1" s="1"/>
  <c r="J1570" i="1"/>
  <c r="AW1570" i="1"/>
  <c r="M1106" i="1"/>
  <c r="AL1121" i="1"/>
  <c r="AU1105" i="1" s="1"/>
  <c r="BI1136" i="1"/>
  <c r="AC1136" i="1" s="1"/>
  <c r="AX1160" i="1"/>
  <c r="K1165" i="1"/>
  <c r="BI1172" i="1"/>
  <c r="K1172" i="1"/>
  <c r="K1202" i="1"/>
  <c r="AL1205" i="1"/>
  <c r="M1205" i="1"/>
  <c r="AX1242" i="1"/>
  <c r="BC1242" i="1" s="1"/>
  <c r="BH1262" i="1"/>
  <c r="AD1262" i="1" s="1"/>
  <c r="J1262" i="1"/>
  <c r="AW1262" i="1"/>
  <c r="AX1266" i="1"/>
  <c r="AV1266" i="1" s="1"/>
  <c r="BI1570" i="1"/>
  <c r="AE1570" i="1" s="1"/>
  <c r="K1570" i="1"/>
  <c r="AX1570" i="1"/>
  <c r="BH1578" i="1"/>
  <c r="AD1578" i="1" s="1"/>
  <c r="J1578" i="1"/>
  <c r="AW1578" i="1"/>
  <c r="M548" i="1"/>
  <c r="M624" i="1"/>
  <c r="M640" i="1"/>
  <c r="M654" i="1"/>
  <c r="M658" i="1"/>
  <c r="M657" i="1" s="1"/>
  <c r="M665" i="1"/>
  <c r="M664" i="1" s="1"/>
  <c r="M678" i="1"/>
  <c r="M693" i="1"/>
  <c r="M772" i="1"/>
  <c r="M860" i="1"/>
  <c r="M862" i="1"/>
  <c r="M882" i="1"/>
  <c r="M896" i="1"/>
  <c r="M906" i="1"/>
  <c r="M941" i="1"/>
  <c r="M958" i="1"/>
  <c r="M970" i="1"/>
  <c r="M993" i="1"/>
  <c r="AW1121" i="1"/>
  <c r="BH1121" i="1"/>
  <c r="AB1121" i="1" s="1"/>
  <c r="J1121" i="1"/>
  <c r="J1105" i="1" s="1"/>
  <c r="D30" i="2" s="1"/>
  <c r="BI1145" i="1"/>
  <c r="AC1145" i="1" s="1"/>
  <c r="AL1165" i="1"/>
  <c r="AU1161" i="1" s="1"/>
  <c r="M1165" i="1"/>
  <c r="BC1202" i="1"/>
  <c r="AW1216" i="1"/>
  <c r="BH1216" i="1"/>
  <c r="AD1216" i="1" s="1"/>
  <c r="J1216" i="1"/>
  <c r="BF1270" i="1"/>
  <c r="AL1314" i="1"/>
  <c r="M1314" i="1"/>
  <c r="AL1376" i="1"/>
  <c r="M1376" i="1"/>
  <c r="BI1380" i="1"/>
  <c r="AE1380" i="1" s="1"/>
  <c r="BH1555" i="1"/>
  <c r="AD1555" i="1" s="1"/>
  <c r="J1555" i="1"/>
  <c r="AW1555" i="1"/>
  <c r="AL1562" i="1"/>
  <c r="M1562" i="1"/>
  <c r="BH1573" i="1"/>
  <c r="AD1573" i="1" s="1"/>
  <c r="J1573" i="1"/>
  <c r="AW1573" i="1"/>
  <c r="BI1578" i="1"/>
  <c r="AE1578" i="1" s="1"/>
  <c r="K1578" i="1"/>
  <c r="AX1578" i="1"/>
  <c r="BH1581" i="1"/>
  <c r="AD1581" i="1" s="1"/>
  <c r="J1581" i="1"/>
  <c r="AW1581" i="1"/>
  <c r="AX1618" i="1"/>
  <c r="AV1618" i="1" s="1"/>
  <c r="BI1618" i="1"/>
  <c r="AE1618" i="1" s="1"/>
  <c r="AW1686" i="1"/>
  <c r="J1686" i="1"/>
  <c r="BH1686" i="1"/>
  <c r="AD1686" i="1" s="1"/>
  <c r="BI1121" i="1"/>
  <c r="AC1121" i="1" s="1"/>
  <c r="K1121" i="1"/>
  <c r="K1105" i="1" s="1"/>
  <c r="E30" i="2" s="1"/>
  <c r="AW1162" i="1"/>
  <c r="BH1162" i="1"/>
  <c r="AB1162" i="1" s="1"/>
  <c r="J1162" i="1"/>
  <c r="L1170" i="1"/>
  <c r="F33" i="2" s="1"/>
  <c r="I33" i="2" s="1"/>
  <c r="BI1216" i="1"/>
  <c r="AE1216" i="1" s="1"/>
  <c r="K1216" i="1"/>
  <c r="BI1327" i="1"/>
  <c r="AE1327" i="1" s="1"/>
  <c r="K1327" i="1"/>
  <c r="BI1377" i="1"/>
  <c r="AE1377" i="1" s="1"/>
  <c r="K1377" i="1"/>
  <c r="BI1555" i="1"/>
  <c r="AE1555" i="1" s="1"/>
  <c r="K1555" i="1"/>
  <c r="AX1555" i="1"/>
  <c r="BI1573" i="1"/>
  <c r="AE1573" i="1" s="1"/>
  <c r="K1573" i="1"/>
  <c r="AX1573" i="1"/>
  <c r="O1575" i="1"/>
  <c r="G40" i="2" s="1"/>
  <c r="BF1578" i="1"/>
  <c r="BI1581" i="1"/>
  <c r="AE1581" i="1" s="1"/>
  <c r="K1581" i="1"/>
  <c r="AX1581" i="1"/>
  <c r="AL1589" i="1"/>
  <c r="AW1598" i="1"/>
  <c r="J1598" i="1"/>
  <c r="BH1598" i="1"/>
  <c r="AD1598" i="1" s="1"/>
  <c r="BH1622" i="1"/>
  <c r="AD1622" i="1" s="1"/>
  <c r="J1622" i="1"/>
  <c r="AW1622" i="1"/>
  <c r="BI1162" i="1"/>
  <c r="AC1162" i="1" s="1"/>
  <c r="K1162" i="1"/>
  <c r="L1178" i="1"/>
  <c r="F36" i="2" s="1"/>
  <c r="I36" i="2" s="1"/>
  <c r="AL1192" i="1"/>
  <c r="M1192" i="1"/>
  <c r="AV1202" i="1"/>
  <c r="AX1216" i="1"/>
  <c r="BH1228" i="1"/>
  <c r="AD1228" i="1" s="1"/>
  <c r="BH1311" i="1"/>
  <c r="AD1311" i="1" s="1"/>
  <c r="J1311" i="1"/>
  <c r="AW1311" i="1"/>
  <c r="AX1327" i="1"/>
  <c r="BC1327" i="1" s="1"/>
  <c r="BH1360" i="1"/>
  <c r="AD1360" i="1" s="1"/>
  <c r="J1360" i="1"/>
  <c r="AW1360" i="1"/>
  <c r="AX1377" i="1"/>
  <c r="BC1377" i="1" s="1"/>
  <c r="BH1558" i="1"/>
  <c r="AD1558" i="1" s="1"/>
  <c r="J1558" i="1"/>
  <c r="AW1558" i="1"/>
  <c r="AL1565" i="1"/>
  <c r="M1565" i="1"/>
  <c r="AS1575" i="1"/>
  <c r="BI1584" i="1"/>
  <c r="AE1584" i="1" s="1"/>
  <c r="K1584" i="1"/>
  <c r="AX1584" i="1"/>
  <c r="BI1598" i="1"/>
  <c r="AE1598" i="1" s="1"/>
  <c r="K1598" i="1"/>
  <c r="AX1598" i="1"/>
  <c r="BH1609" i="1"/>
  <c r="AD1609" i="1" s="1"/>
  <c r="J1609" i="1"/>
  <c r="AW1609" i="1"/>
  <c r="BI1622" i="1"/>
  <c r="AE1622" i="1" s="1"/>
  <c r="K1622" i="1"/>
  <c r="AX1622" i="1"/>
  <c r="BH1677" i="1"/>
  <c r="AD1677" i="1" s="1"/>
  <c r="J1677" i="1"/>
  <c r="AW1677" i="1"/>
  <c r="BH1583" i="1"/>
  <c r="AD1583" i="1" s="1"/>
  <c r="BI1586" i="1"/>
  <c r="AE1586" i="1" s="1"/>
  <c r="K1591" i="1"/>
  <c r="BI1609" i="1"/>
  <c r="AE1609" i="1" s="1"/>
  <c r="K1609" i="1"/>
  <c r="AX1609" i="1"/>
  <c r="AW1669" i="1"/>
  <c r="J1669" i="1"/>
  <c r="BH1669" i="1"/>
  <c r="AD1669" i="1" s="1"/>
  <c r="AL1677" i="1"/>
  <c r="M1677" i="1"/>
  <c r="L1674" i="1"/>
  <c r="F48" i="2" s="1"/>
  <c r="I48" i="2" s="1"/>
  <c r="J1242" i="1"/>
  <c r="BH1242" i="1"/>
  <c r="AD1242" i="1" s="1"/>
  <c r="J1259" i="1"/>
  <c r="BH1259" i="1"/>
  <c r="AD1259" i="1" s="1"/>
  <c r="J1266" i="1"/>
  <c r="BH1266" i="1"/>
  <c r="AD1266" i="1" s="1"/>
  <c r="J1297" i="1"/>
  <c r="BH1297" i="1"/>
  <c r="AD1297" i="1" s="1"/>
  <c r="J1327" i="1"/>
  <c r="BH1327" i="1"/>
  <c r="AD1327" i="1" s="1"/>
  <c r="J1355" i="1"/>
  <c r="BH1355" i="1"/>
  <c r="AD1355" i="1" s="1"/>
  <c r="J1377" i="1"/>
  <c r="BH1377" i="1"/>
  <c r="AD1377" i="1" s="1"/>
  <c r="J1386" i="1"/>
  <c r="BH1386" i="1"/>
  <c r="J1554" i="1"/>
  <c r="BH1554" i="1"/>
  <c r="AD1554" i="1" s="1"/>
  <c r="J1557" i="1"/>
  <c r="BH1557" i="1"/>
  <c r="AD1557" i="1" s="1"/>
  <c r="J1560" i="1"/>
  <c r="BH1560" i="1"/>
  <c r="AD1560" i="1" s="1"/>
  <c r="J1563" i="1"/>
  <c r="BH1563" i="1"/>
  <c r="AD1563" i="1" s="1"/>
  <c r="J1566" i="1"/>
  <c r="BH1566" i="1"/>
  <c r="AD1566" i="1" s="1"/>
  <c r="J1569" i="1"/>
  <c r="BH1569" i="1"/>
  <c r="AD1569" i="1" s="1"/>
  <c r="J1572" i="1"/>
  <c r="BH1572" i="1"/>
  <c r="AD1572" i="1" s="1"/>
  <c r="J1577" i="1"/>
  <c r="BH1577" i="1"/>
  <c r="AD1577" i="1" s="1"/>
  <c r="J1580" i="1"/>
  <c r="BH1580" i="1"/>
  <c r="AD1580" i="1" s="1"/>
  <c r="J1583" i="1"/>
  <c r="BI1583" i="1"/>
  <c r="AE1583" i="1" s="1"/>
  <c r="K1586" i="1"/>
  <c r="AL1591" i="1"/>
  <c r="M1591" i="1"/>
  <c r="BH1593" i="1"/>
  <c r="AD1593" i="1" s="1"/>
  <c r="AW1630" i="1"/>
  <c r="J1630" i="1"/>
  <c r="J1632" i="1"/>
  <c r="BH1632" i="1"/>
  <c r="AD1632" i="1" s="1"/>
  <c r="AW1632" i="1"/>
  <c r="K1669" i="1"/>
  <c r="BI1669" i="1"/>
  <c r="AE1669" i="1" s="1"/>
  <c r="AX1669" i="1"/>
  <c r="BI1672" i="1"/>
  <c r="AE1672" i="1" s="1"/>
  <c r="K1672" i="1"/>
  <c r="AX1672" i="1"/>
  <c r="AX1749" i="1"/>
  <c r="K1749" i="1"/>
  <c r="BI1749" i="1"/>
  <c r="AE1749" i="1" s="1"/>
  <c r="K1554" i="1"/>
  <c r="K1557" i="1"/>
  <c r="K1560" i="1"/>
  <c r="K1563" i="1"/>
  <c r="K1566" i="1"/>
  <c r="K1569" i="1"/>
  <c r="K1572" i="1"/>
  <c r="K1577" i="1"/>
  <c r="K1580" i="1"/>
  <c r="K1583" i="1"/>
  <c r="BI1590" i="1"/>
  <c r="AE1590" i="1" s="1"/>
  <c r="K1590" i="1"/>
  <c r="BH1617" i="1"/>
  <c r="AD1617" i="1" s="1"/>
  <c r="J1617" i="1"/>
  <c r="AW1617" i="1"/>
  <c r="M1626" i="1"/>
  <c r="K1630" i="1"/>
  <c r="AX1630" i="1"/>
  <c r="BH1665" i="1"/>
  <c r="AD1665" i="1" s="1"/>
  <c r="AW1665" i="1"/>
  <c r="AW1667" i="1"/>
  <c r="J1667" i="1"/>
  <c r="BH1667" i="1"/>
  <c r="AD1667" i="1" s="1"/>
  <c r="O1674" i="1"/>
  <c r="G48" i="2" s="1"/>
  <c r="AS1674" i="1"/>
  <c r="BI1599" i="1"/>
  <c r="AE1599" i="1" s="1"/>
  <c r="BI1617" i="1"/>
  <c r="AE1617" i="1" s="1"/>
  <c r="K1617" i="1"/>
  <c r="AX1617" i="1"/>
  <c r="L1621" i="1"/>
  <c r="F44" i="2" s="1"/>
  <c r="I44" i="2" s="1"/>
  <c r="J1626" i="1"/>
  <c r="BH1626" i="1"/>
  <c r="AD1626" i="1" s="1"/>
  <c r="AW1626" i="1"/>
  <c r="AL1632" i="1"/>
  <c r="M1632" i="1"/>
  <c r="K1638" i="1"/>
  <c r="BI1638" i="1"/>
  <c r="AE1638" i="1" s="1"/>
  <c r="AX1638" i="1"/>
  <c r="AV1638" i="1" s="1"/>
  <c r="BH1648" i="1"/>
  <c r="AD1648" i="1" s="1"/>
  <c r="AW1648" i="1"/>
  <c r="J1665" i="1"/>
  <c r="AL1667" i="1"/>
  <c r="M1667" i="1"/>
  <c r="AV1690" i="1"/>
  <c r="BC1690" i="1"/>
  <c r="BC1706" i="1"/>
  <c r="AV1706" i="1"/>
  <c r="BH1739" i="1"/>
  <c r="AD1739" i="1" s="1"/>
  <c r="J1739" i="1"/>
  <c r="AW1739" i="1"/>
  <c r="K1587" i="1"/>
  <c r="AX1590" i="1"/>
  <c r="BC1590" i="1" s="1"/>
  <c r="AX1591" i="1"/>
  <c r="AS1592" i="1"/>
  <c r="AL1624" i="1"/>
  <c r="AL1629" i="1"/>
  <c r="M1629" i="1"/>
  <c r="BH1630" i="1"/>
  <c r="AD1630" i="1" s="1"/>
  <c r="AL1665" i="1"/>
  <c r="M1665" i="1"/>
  <c r="AX1678" i="1"/>
  <c r="AV1678" i="1" s="1"/>
  <c r="K1678" i="1"/>
  <c r="BI1678" i="1"/>
  <c r="AE1678" i="1" s="1"/>
  <c r="AT1592" i="1"/>
  <c r="AL1602" i="1"/>
  <c r="M1602" i="1"/>
  <c r="L1604" i="1"/>
  <c r="F42" i="2" s="1"/>
  <c r="I42" i="2" s="1"/>
  <c r="AT1604" i="1"/>
  <c r="BH1606" i="1"/>
  <c r="AD1606" i="1" s="1"/>
  <c r="J1606" i="1"/>
  <c r="AW1606" i="1"/>
  <c r="BC1625" i="1"/>
  <c r="AL1648" i="1"/>
  <c r="M1648" i="1"/>
  <c r="AT1650" i="1"/>
  <c r="BH1731" i="1"/>
  <c r="AD1731" i="1" s="1"/>
  <c r="J1731" i="1"/>
  <c r="AW1731" i="1"/>
  <c r="BI1606" i="1"/>
  <c r="AE1606" i="1" s="1"/>
  <c r="K1606" i="1"/>
  <c r="AX1606" i="1"/>
  <c r="AW1628" i="1"/>
  <c r="J1628" i="1"/>
  <c r="AV1640" i="1"/>
  <c r="BC1640" i="1"/>
  <c r="AL1593" i="1"/>
  <c r="M1593" i="1"/>
  <c r="BH1601" i="1"/>
  <c r="AD1601" i="1" s="1"/>
  <c r="J1601" i="1"/>
  <c r="AW1601" i="1"/>
  <c r="BI1607" i="1"/>
  <c r="AE1607" i="1" s="1"/>
  <c r="BC1623" i="1"/>
  <c r="AL1628" i="1"/>
  <c r="M1628" i="1"/>
  <c r="AX1628" i="1"/>
  <c r="K1628" i="1"/>
  <c r="BI1628" i="1"/>
  <c r="AE1628" i="1" s="1"/>
  <c r="AW1631" i="1"/>
  <c r="J1631" i="1"/>
  <c r="AW1664" i="1"/>
  <c r="J1664" i="1"/>
  <c r="BH1664" i="1"/>
  <c r="AD1664" i="1" s="1"/>
  <c r="J1668" i="1"/>
  <c r="BH1668" i="1"/>
  <c r="AD1668" i="1" s="1"/>
  <c r="AW1668" i="1"/>
  <c r="BH1590" i="1"/>
  <c r="AD1590" i="1" s="1"/>
  <c r="AL1599" i="1"/>
  <c r="M1599" i="1"/>
  <c r="BI1601" i="1"/>
  <c r="AE1601" i="1" s="1"/>
  <c r="K1601" i="1"/>
  <c r="AX1601" i="1"/>
  <c r="BH1614" i="1"/>
  <c r="AD1614" i="1" s="1"/>
  <c r="J1614" i="1"/>
  <c r="AW1614" i="1"/>
  <c r="BH1620" i="1"/>
  <c r="AD1620" i="1" s="1"/>
  <c r="J1620" i="1"/>
  <c r="AW1620" i="1"/>
  <c r="AL1631" i="1"/>
  <c r="M1631" i="1"/>
  <c r="K1631" i="1"/>
  <c r="BI1631" i="1"/>
  <c r="AE1631" i="1" s="1"/>
  <c r="AX1631" i="1"/>
  <c r="AS1642" i="1"/>
  <c r="AW1647" i="1"/>
  <c r="J1647" i="1"/>
  <c r="BH1647" i="1"/>
  <c r="AD1647" i="1" s="1"/>
  <c r="AL1664" i="1"/>
  <c r="M1664" i="1"/>
  <c r="AW1666" i="1"/>
  <c r="J1666" i="1"/>
  <c r="BH1666" i="1"/>
  <c r="AD1666" i="1" s="1"/>
  <c r="BI1668" i="1"/>
  <c r="AE1668" i="1" s="1"/>
  <c r="K1668" i="1"/>
  <c r="AX1668" i="1"/>
  <c r="BC1722" i="1"/>
  <c r="AL1644" i="1"/>
  <c r="M1644" i="1"/>
  <c r="AL1645" i="1"/>
  <c r="M1645" i="1"/>
  <c r="BI1648" i="1"/>
  <c r="AE1648" i="1" s="1"/>
  <c r="K1648" i="1"/>
  <c r="J1654" i="1"/>
  <c r="K1657" i="1"/>
  <c r="AL1661" i="1"/>
  <c r="M1661" i="1"/>
  <c r="AL1662" i="1"/>
  <c r="M1662" i="1"/>
  <c r="BI1665" i="1"/>
  <c r="AE1665" i="1" s="1"/>
  <c r="K1665" i="1"/>
  <c r="AL1676" i="1"/>
  <c r="M1676" i="1"/>
  <c r="BI1677" i="1"/>
  <c r="AE1677" i="1" s="1"/>
  <c r="K1677" i="1"/>
  <c r="BC1698" i="1"/>
  <c r="AV1698" i="1"/>
  <c r="BC1712" i="1"/>
  <c r="AV1712" i="1"/>
  <c r="AX1759" i="1"/>
  <c r="K1759" i="1"/>
  <c r="BI1759" i="1"/>
  <c r="AE1759" i="1" s="1"/>
  <c r="AX1835" i="1"/>
  <c r="BC1835" i="1" s="1"/>
  <c r="BI1835" i="1"/>
  <c r="AE1835" i="1" s="1"/>
  <c r="AL1884" i="1"/>
  <c r="M1884" i="1"/>
  <c r="BH2295" i="1"/>
  <c r="AD2295" i="1" s="1"/>
  <c r="AW2295" i="1"/>
  <c r="J2295" i="1"/>
  <c r="M1607" i="1"/>
  <c r="M1610" i="1"/>
  <c r="M1615" i="1"/>
  <c r="M1618" i="1"/>
  <c r="M1623" i="1"/>
  <c r="BH1624" i="1"/>
  <c r="AD1624" i="1" s="1"/>
  <c r="M1627" i="1"/>
  <c r="M1633" i="1"/>
  <c r="AL1634" i="1"/>
  <c r="M1634" i="1"/>
  <c r="BI1645" i="1"/>
  <c r="AE1645" i="1" s="1"/>
  <c r="K1645" i="1"/>
  <c r="J1651" i="1"/>
  <c r="AS1650" i="1"/>
  <c r="J1652" i="1"/>
  <c r="K1654" i="1"/>
  <c r="J1656" i="1"/>
  <c r="AL1658" i="1"/>
  <c r="M1658" i="1"/>
  <c r="AL1659" i="1"/>
  <c r="M1659" i="1"/>
  <c r="BI1662" i="1"/>
  <c r="AE1662" i="1" s="1"/>
  <c r="K1662" i="1"/>
  <c r="K1675" i="1"/>
  <c r="BH1678" i="1"/>
  <c r="AD1678" i="1" s="1"/>
  <c r="AL1684" i="1"/>
  <c r="M1684" i="1"/>
  <c r="BH1684" i="1"/>
  <c r="AD1684" i="1" s="1"/>
  <c r="J1684" i="1"/>
  <c r="BH1702" i="1"/>
  <c r="AD1702" i="1" s="1"/>
  <c r="J1702" i="1"/>
  <c r="BC1715" i="1"/>
  <c r="AV1715" i="1"/>
  <c r="BC1718" i="1"/>
  <c r="AV1718" i="1"/>
  <c r="BC1721" i="1"/>
  <c r="AV1721" i="1"/>
  <c r="BC1724" i="1"/>
  <c r="AV1724" i="1"/>
  <c r="BC1727" i="1"/>
  <c r="AV1727" i="1"/>
  <c r="BF1731" i="1"/>
  <c r="O1730" i="1"/>
  <c r="G50" i="2" s="1"/>
  <c r="J1603" i="1"/>
  <c r="J1605" i="1"/>
  <c r="J1608" i="1"/>
  <c r="J1611" i="1"/>
  <c r="J1613" i="1"/>
  <c r="J1616" i="1"/>
  <c r="J1619" i="1"/>
  <c r="J1624" i="1"/>
  <c r="O1635" i="1"/>
  <c r="G45" i="2" s="1"/>
  <c r="BH1638" i="1"/>
  <c r="AD1638" i="1" s="1"/>
  <c r="BI1641" i="1"/>
  <c r="AE1641" i="1" s="1"/>
  <c r="AW1645" i="1"/>
  <c r="AX1648" i="1"/>
  <c r="K1651" i="1"/>
  <c r="J1653" i="1"/>
  <c r="AL1655" i="1"/>
  <c r="M1655" i="1"/>
  <c r="AL1656" i="1"/>
  <c r="M1656" i="1"/>
  <c r="BI1659" i="1"/>
  <c r="AE1659" i="1" s="1"/>
  <c r="K1659" i="1"/>
  <c r="AW1662" i="1"/>
  <c r="AX1665" i="1"/>
  <c r="BC1675" i="1"/>
  <c r="AX1677" i="1"/>
  <c r="J1681" i="1"/>
  <c r="AL1682" i="1"/>
  <c r="M1682" i="1"/>
  <c r="BI1684" i="1"/>
  <c r="AE1684" i="1" s="1"/>
  <c r="K1684" i="1"/>
  <c r="BI1702" i="1"/>
  <c r="AE1702" i="1" s="1"/>
  <c r="K1702" i="1"/>
  <c r="AX1702" i="1"/>
  <c r="AV1702" i="1" s="1"/>
  <c r="BH1705" i="1"/>
  <c r="AD1705" i="1" s="1"/>
  <c r="J1705" i="1"/>
  <c r="AX1751" i="1"/>
  <c r="BI1751" i="1"/>
  <c r="AE1751" i="1" s="1"/>
  <c r="BI1846" i="1"/>
  <c r="AE1846" i="1" s="1"/>
  <c r="K1846" i="1"/>
  <c r="AX1846" i="1"/>
  <c r="K1921" i="1"/>
  <c r="BI1921" i="1"/>
  <c r="AE1921" i="1" s="1"/>
  <c r="AX1921" i="1"/>
  <c r="AL1652" i="1"/>
  <c r="M1652" i="1"/>
  <c r="AL1653" i="1"/>
  <c r="M1653" i="1"/>
  <c r="BI1656" i="1"/>
  <c r="AE1656" i="1" s="1"/>
  <c r="K1656" i="1"/>
  <c r="AV1658" i="1"/>
  <c r="K1681" i="1"/>
  <c r="AV1684" i="1"/>
  <c r="AL1696" i="1"/>
  <c r="M1696" i="1"/>
  <c r="BH1696" i="1"/>
  <c r="AD1696" i="1" s="1"/>
  <c r="J1696" i="1"/>
  <c r="BI1705" i="1"/>
  <c r="AE1705" i="1" s="1"/>
  <c r="K1705" i="1"/>
  <c r="AX1705" i="1"/>
  <c r="BC1705" i="1" s="1"/>
  <c r="BH1708" i="1"/>
  <c r="AD1708" i="1" s="1"/>
  <c r="J1708" i="1"/>
  <c r="AS1730" i="1"/>
  <c r="AL1753" i="1"/>
  <c r="AL1761" i="1"/>
  <c r="M1761" i="1"/>
  <c r="AX1761" i="1"/>
  <c r="K1761" i="1"/>
  <c r="BI1761" i="1"/>
  <c r="AE1761" i="1" s="1"/>
  <c r="BC1651" i="1"/>
  <c r="BI1653" i="1"/>
  <c r="AE1653" i="1" s="1"/>
  <c r="K1653" i="1"/>
  <c r="AL1694" i="1"/>
  <c r="M1694" i="1"/>
  <c r="BI1696" i="1"/>
  <c r="AE1696" i="1" s="1"/>
  <c r="K1696" i="1"/>
  <c r="BF1702" i="1"/>
  <c r="O1701" i="1"/>
  <c r="G49" i="2" s="1"/>
  <c r="BI1708" i="1"/>
  <c r="AE1708" i="1" s="1"/>
  <c r="K1708" i="1"/>
  <c r="AX1708" i="1"/>
  <c r="BC1708" i="1" s="1"/>
  <c r="BH1711" i="1"/>
  <c r="AD1711" i="1" s="1"/>
  <c r="J1711" i="1"/>
  <c r="BH1729" i="1"/>
  <c r="AD1729" i="1" s="1"/>
  <c r="J1729" i="1"/>
  <c r="AV1874" i="1"/>
  <c r="BC1874" i="1"/>
  <c r="BI1882" i="1"/>
  <c r="AE1882" i="1" s="1"/>
  <c r="K1882" i="1"/>
  <c r="AX1882" i="1"/>
  <c r="AW1653" i="1"/>
  <c r="AX1656" i="1"/>
  <c r="AX1657" i="1"/>
  <c r="AV1657" i="1" s="1"/>
  <c r="BC1684" i="1"/>
  <c r="BH1700" i="1"/>
  <c r="AD1700" i="1" s="1"/>
  <c r="J1700" i="1"/>
  <c r="BI1711" i="1"/>
  <c r="AE1711" i="1" s="1"/>
  <c r="K1711" i="1"/>
  <c r="AX1711" i="1"/>
  <c r="BH1714" i="1"/>
  <c r="AD1714" i="1" s="1"/>
  <c r="J1714" i="1"/>
  <c r="BH1717" i="1"/>
  <c r="AD1717" i="1" s="1"/>
  <c r="J1717" i="1"/>
  <c r="BH1720" i="1"/>
  <c r="AD1720" i="1" s="1"/>
  <c r="J1720" i="1"/>
  <c r="BH1723" i="1"/>
  <c r="AD1723" i="1" s="1"/>
  <c r="J1723" i="1"/>
  <c r="BH1726" i="1"/>
  <c r="AD1726" i="1" s="1"/>
  <c r="J1726" i="1"/>
  <c r="BI1819" i="1"/>
  <c r="AE1819" i="1" s="1"/>
  <c r="K1819" i="1"/>
  <c r="AX1819" i="1"/>
  <c r="BI1834" i="1"/>
  <c r="AE1834" i="1" s="1"/>
  <c r="K1834" i="1"/>
  <c r="AX1834" i="1"/>
  <c r="J1638" i="1"/>
  <c r="AV1651" i="1"/>
  <c r="AX1653" i="1"/>
  <c r="AX1654" i="1"/>
  <c r="AV1654" i="1" s="1"/>
  <c r="AL1680" i="1"/>
  <c r="M1680" i="1"/>
  <c r="BH1680" i="1"/>
  <c r="AD1680" i="1" s="1"/>
  <c r="J1680" i="1"/>
  <c r="AV1681" i="1"/>
  <c r="AX1696" i="1"/>
  <c r="AV1696" i="1" s="1"/>
  <c r="BI1700" i="1"/>
  <c r="AE1700" i="1" s="1"/>
  <c r="K1700" i="1"/>
  <c r="AX1700" i="1"/>
  <c r="AS1701" i="1"/>
  <c r="AW1711" i="1"/>
  <c r="AW1729" i="1"/>
  <c r="BC1736" i="1"/>
  <c r="AV1736" i="1"/>
  <c r="AL1819" i="1"/>
  <c r="M1819" i="1"/>
  <c r="L1818" i="1"/>
  <c r="F53" i="2" s="1"/>
  <c r="I53" i="2" s="1"/>
  <c r="BI1864" i="1"/>
  <c r="AE1864" i="1" s="1"/>
  <c r="K1864" i="1"/>
  <c r="AX1864" i="1"/>
  <c r="BC1907" i="1"/>
  <c r="AV1907" i="1"/>
  <c r="K2227" i="1"/>
  <c r="BI2227" i="1"/>
  <c r="AE2227" i="1" s="1"/>
  <c r="AX2227" i="1"/>
  <c r="AV2227" i="1" s="1"/>
  <c r="AL1625" i="1"/>
  <c r="M1625" i="1"/>
  <c r="BI1626" i="1"/>
  <c r="AE1626" i="1" s="1"/>
  <c r="BH1633" i="1"/>
  <c r="AD1633" i="1" s="1"/>
  <c r="L1642" i="1"/>
  <c r="F46" i="2" s="1"/>
  <c r="I46" i="2" s="1"/>
  <c r="BH1644" i="1"/>
  <c r="AD1644" i="1" s="1"/>
  <c r="BH1657" i="1"/>
  <c r="AD1657" i="1" s="1"/>
  <c r="BH1661" i="1"/>
  <c r="AD1661" i="1" s="1"/>
  <c r="J1671" i="1"/>
  <c r="BI1675" i="1"/>
  <c r="AE1675" i="1" s="1"/>
  <c r="J1678" i="1"/>
  <c r="AL1679" i="1"/>
  <c r="M1679" i="1"/>
  <c r="BI1680" i="1"/>
  <c r="AE1680" i="1" s="1"/>
  <c r="K1680" i="1"/>
  <c r="AW1700" i="1"/>
  <c r="AW1714" i="1"/>
  <c r="AW1717" i="1"/>
  <c r="AW1720" i="1"/>
  <c r="AW1723" i="1"/>
  <c r="AW1726" i="1"/>
  <c r="BH1634" i="1"/>
  <c r="AD1634" i="1" s="1"/>
  <c r="AL1636" i="1"/>
  <c r="M1636" i="1"/>
  <c r="AL1637" i="1"/>
  <c r="M1637" i="1"/>
  <c r="AL1639" i="1"/>
  <c r="M1639" i="1"/>
  <c r="AL1640" i="1"/>
  <c r="M1640" i="1"/>
  <c r="O1642" i="1"/>
  <c r="G46" i="2" s="1"/>
  <c r="BH1654" i="1"/>
  <c r="AD1654" i="1" s="1"/>
  <c r="BH1658" i="1"/>
  <c r="AD1658" i="1" s="1"/>
  <c r="AW1680" i="1"/>
  <c r="BH1681" i="1"/>
  <c r="AD1681" i="1" s="1"/>
  <c r="AL1690" i="1"/>
  <c r="M1690" i="1"/>
  <c r="BH1690" i="1"/>
  <c r="AD1690" i="1" s="1"/>
  <c r="J1690" i="1"/>
  <c r="AV1710" i="1"/>
  <c r="M1805" i="1"/>
  <c r="BI1825" i="1"/>
  <c r="AE1825" i="1" s="1"/>
  <c r="K1825" i="1"/>
  <c r="AX1825" i="1"/>
  <c r="AV1825" i="1" s="1"/>
  <c r="AL2011" i="1"/>
  <c r="M2011" i="1"/>
  <c r="BI1637" i="1"/>
  <c r="AE1637" i="1" s="1"/>
  <c r="K1637" i="1"/>
  <c r="BI1640" i="1"/>
  <c r="AE1640" i="1" s="1"/>
  <c r="K1640" i="1"/>
  <c r="BH1651" i="1"/>
  <c r="AD1651" i="1" s="1"/>
  <c r="AL1671" i="1"/>
  <c r="M1671" i="1"/>
  <c r="AL1672" i="1"/>
  <c r="M1672" i="1"/>
  <c r="BI1681" i="1"/>
  <c r="AE1681" i="1" s="1"/>
  <c r="AL1688" i="1"/>
  <c r="M1688" i="1"/>
  <c r="BI1690" i="1"/>
  <c r="AE1690" i="1" s="1"/>
  <c r="K1690" i="1"/>
  <c r="BC1703" i="1"/>
  <c r="AV1703" i="1"/>
  <c r="AT1730" i="1"/>
  <c r="BC1760" i="1"/>
  <c r="AV1760" i="1"/>
  <c r="AL1773" i="1"/>
  <c r="AU1772" i="1" s="1"/>
  <c r="L1772" i="1"/>
  <c r="F51" i="2" s="1"/>
  <c r="I51" i="2" s="1"/>
  <c r="M1773" i="1"/>
  <c r="AV1773" i="1"/>
  <c r="BI1840" i="1"/>
  <c r="AE1840" i="1" s="1"/>
  <c r="K1840" i="1"/>
  <c r="AX1840" i="1"/>
  <c r="AL1899" i="1"/>
  <c r="M1899" i="1"/>
  <c r="AV1936" i="1"/>
  <c r="BC1936" i="1"/>
  <c r="AL1751" i="1"/>
  <c r="AL1835" i="1"/>
  <c r="M1835" i="1"/>
  <c r="AL1841" i="1"/>
  <c r="M1841" i="1"/>
  <c r="AL1850" i="1"/>
  <c r="M1850" i="1"/>
  <c r="AL1859" i="1"/>
  <c r="M1859" i="1"/>
  <c r="BI1895" i="1"/>
  <c r="AE1895" i="1" s="1"/>
  <c r="K1895" i="1"/>
  <c r="AX1895" i="1"/>
  <c r="AL1905" i="1"/>
  <c r="M1905" i="1"/>
  <c r="K1912" i="1"/>
  <c r="BI1912" i="1"/>
  <c r="AE1912" i="1" s="1"/>
  <c r="AX1912" i="1"/>
  <c r="BI2021" i="1"/>
  <c r="AE2021" i="1" s="1"/>
  <c r="K2021" i="1"/>
  <c r="AX2021" i="1"/>
  <c r="BI2295" i="1"/>
  <c r="AE2295" i="1" s="1"/>
  <c r="K2295" i="1"/>
  <c r="AX2295" i="1"/>
  <c r="AW2302" i="1"/>
  <c r="J2302" i="1"/>
  <c r="BH2302" i="1"/>
  <c r="AD2302" i="1" s="1"/>
  <c r="AL2458" i="1"/>
  <c r="M2458" i="1"/>
  <c r="BC2523" i="1"/>
  <c r="AV2523" i="1"/>
  <c r="L1701" i="1"/>
  <c r="F49" i="2" s="1"/>
  <c r="I49" i="2" s="1"/>
  <c r="L1730" i="1"/>
  <c r="F50" i="2" s="1"/>
  <c r="I50" i="2" s="1"/>
  <c r="BI1745" i="1"/>
  <c r="AE1745" i="1" s="1"/>
  <c r="BI1746" i="1"/>
  <c r="AE1746" i="1" s="1"/>
  <c r="K1753" i="1"/>
  <c r="BI1755" i="1"/>
  <c r="AE1755" i="1" s="1"/>
  <c r="K1763" i="1"/>
  <c r="BI1765" i="1"/>
  <c r="AE1765" i="1" s="1"/>
  <c r="BI1829" i="1"/>
  <c r="AE1829" i="1" s="1"/>
  <c r="AL1872" i="1"/>
  <c r="M1872" i="1"/>
  <c r="BI1893" i="1"/>
  <c r="K1893" i="1"/>
  <c r="AX1893" i="1"/>
  <c r="AV1956" i="1"/>
  <c r="BC1956" i="1"/>
  <c r="BF2280" i="1"/>
  <c r="O2239" i="1"/>
  <c r="G62" i="2" s="1"/>
  <c r="L2359" i="1"/>
  <c r="F63" i="2" s="1"/>
  <c r="I63" i="2" s="1"/>
  <c r="AX1714" i="1"/>
  <c r="AX1717" i="1"/>
  <c r="AX1720" i="1"/>
  <c r="AX1723" i="1"/>
  <c r="AX1726" i="1"/>
  <c r="AX1729" i="1"/>
  <c r="AX1731" i="1"/>
  <c r="AX1739" i="1"/>
  <c r="AL1743" i="1"/>
  <c r="BI1849" i="1"/>
  <c r="AE1849" i="1" s="1"/>
  <c r="K1849" i="1"/>
  <c r="AX1849" i="1"/>
  <c r="BI1858" i="1"/>
  <c r="AE1858" i="1" s="1"/>
  <c r="K1858" i="1"/>
  <c r="AX1858" i="1"/>
  <c r="BI1904" i="1"/>
  <c r="AE1904" i="1" s="1"/>
  <c r="K1904" i="1"/>
  <c r="AX1904" i="1"/>
  <c r="BH1948" i="1"/>
  <c r="AD1948" i="1" s="1"/>
  <c r="J1948" i="1"/>
  <c r="AW1948" i="1"/>
  <c r="AV1966" i="1"/>
  <c r="BC1966" i="1"/>
  <c r="BH2151" i="1"/>
  <c r="AD2151" i="1" s="1"/>
  <c r="J2151" i="1"/>
  <c r="AW2151" i="1"/>
  <c r="BF2227" i="1"/>
  <c r="O2226" i="1"/>
  <c r="G59" i="2" s="1"/>
  <c r="AV1762" i="1"/>
  <c r="M1764" i="1"/>
  <c r="AL1783" i="1"/>
  <c r="AL1805" i="1"/>
  <c r="AL1814" i="1"/>
  <c r="AV1824" i="1"/>
  <c r="AL1844" i="1"/>
  <c r="M1844" i="1"/>
  <c r="AL1853" i="1"/>
  <c r="M1853" i="1"/>
  <c r="AL1862" i="1"/>
  <c r="M1862" i="1"/>
  <c r="BI1870" i="1"/>
  <c r="AE1870" i="1" s="1"/>
  <c r="K1870" i="1"/>
  <c r="AX1870" i="1"/>
  <c r="AL1890" i="1"/>
  <c r="M1890" i="1"/>
  <c r="BI2151" i="1"/>
  <c r="AE2151" i="1" s="1"/>
  <c r="K2151" i="1"/>
  <c r="K2150" i="1" s="1"/>
  <c r="E58" i="2" s="1"/>
  <c r="AX2151" i="1"/>
  <c r="AL1745" i="1"/>
  <c r="AL1746" i="1"/>
  <c r="AL1755" i="1"/>
  <c r="AL1765" i="1"/>
  <c r="AL1769" i="1"/>
  <c r="AL1770" i="1"/>
  <c r="BI1773" i="1"/>
  <c r="AE1773" i="1" s="1"/>
  <c r="M1783" i="1"/>
  <c r="M1799" i="1"/>
  <c r="M1808" i="1"/>
  <c r="M1817" i="1"/>
  <c r="AS1894" i="1"/>
  <c r="BI1898" i="1"/>
  <c r="AE1898" i="1" s="1"/>
  <c r="K1898" i="1"/>
  <c r="AX1898" i="1"/>
  <c r="BC1911" i="1"/>
  <c r="AW2334" i="1"/>
  <c r="BH2334" i="1"/>
  <c r="AD2334" i="1" s="1"/>
  <c r="M1699" i="1"/>
  <c r="M1704" i="1"/>
  <c r="M1707" i="1"/>
  <c r="M1710" i="1"/>
  <c r="M1713" i="1"/>
  <c r="M1716" i="1"/>
  <c r="M1719" i="1"/>
  <c r="M1722" i="1"/>
  <c r="M1725" i="1"/>
  <c r="M1728" i="1"/>
  <c r="M1737" i="1"/>
  <c r="AW1741" i="1"/>
  <c r="K1757" i="1"/>
  <c r="BI1760" i="1"/>
  <c r="AE1760" i="1" s="1"/>
  <c r="K1768" i="1"/>
  <c r="AL1768" i="1"/>
  <c r="M1771" i="1"/>
  <c r="AL1822" i="1"/>
  <c r="M1822" i="1"/>
  <c r="BI1822" i="1"/>
  <c r="AE1822" i="1" s="1"/>
  <c r="K1822" i="1"/>
  <c r="AX1822" i="1"/>
  <c r="BC1823" i="1"/>
  <c r="AV1823" i="1"/>
  <c r="BI1831" i="1"/>
  <c r="AE1831" i="1" s="1"/>
  <c r="K1831" i="1"/>
  <c r="AX1831" i="1"/>
  <c r="AL1838" i="1"/>
  <c r="M1838" i="1"/>
  <c r="AL1878" i="1"/>
  <c r="M1878" i="1"/>
  <c r="AL1994" i="1"/>
  <c r="M1994" i="1"/>
  <c r="BI1750" i="1"/>
  <c r="AE1750" i="1" s="1"/>
  <c r="AL1757" i="1"/>
  <c r="AL1767" i="1"/>
  <c r="BI1770" i="1"/>
  <c r="AE1770" i="1" s="1"/>
  <c r="K1770" i="1"/>
  <c r="AX1770" i="1"/>
  <c r="AV1770" i="1" s="1"/>
  <c r="BI1799" i="1"/>
  <c r="AE1799" i="1" s="1"/>
  <c r="K1799" i="1"/>
  <c r="AX1799" i="1"/>
  <c r="BI1808" i="1"/>
  <c r="AE1808" i="1" s="1"/>
  <c r="K1808" i="1"/>
  <c r="AX1808" i="1"/>
  <c r="BI1817" i="1"/>
  <c r="K1817" i="1"/>
  <c r="AX1817" i="1"/>
  <c r="BC1817" i="1" s="1"/>
  <c r="K1829" i="1"/>
  <c r="BI1843" i="1"/>
  <c r="AE1843" i="1" s="1"/>
  <c r="K1843" i="1"/>
  <c r="AX1843" i="1"/>
  <c r="BI1852" i="1"/>
  <c r="AE1852" i="1" s="1"/>
  <c r="K1852" i="1"/>
  <c r="AX1852" i="1"/>
  <c r="BI1861" i="1"/>
  <c r="AE1861" i="1" s="1"/>
  <c r="K1861" i="1"/>
  <c r="AX1861" i="1"/>
  <c r="BI1888" i="1"/>
  <c r="AE1888" i="1" s="1"/>
  <c r="K1888" i="1"/>
  <c r="AX1888" i="1"/>
  <c r="AL1902" i="1"/>
  <c r="M1902" i="1"/>
  <c r="BH1913" i="1"/>
  <c r="AD1913" i="1" s="1"/>
  <c r="J1913" i="1"/>
  <c r="AW1913" i="1"/>
  <c r="BC1918" i="1"/>
  <c r="J1950" i="1"/>
  <c r="BH1950" i="1"/>
  <c r="AD1950" i="1" s="1"/>
  <c r="AW1950" i="1"/>
  <c r="AV1999" i="1"/>
  <c r="BC1999" i="1"/>
  <c r="K1714" i="1"/>
  <c r="K1717" i="1"/>
  <c r="K1720" i="1"/>
  <c r="K1723" i="1"/>
  <c r="K1726" i="1"/>
  <c r="K1729" i="1"/>
  <c r="K1731" i="1"/>
  <c r="K1739" i="1"/>
  <c r="AL1820" i="1"/>
  <c r="BI1837" i="1"/>
  <c r="AE1837" i="1" s="1"/>
  <c r="K1837" i="1"/>
  <c r="AX1837" i="1"/>
  <c r="AL1847" i="1"/>
  <c r="M1847" i="1"/>
  <c r="AL1856" i="1"/>
  <c r="M1856" i="1"/>
  <c r="BC1856" i="1"/>
  <c r="AL1866" i="1"/>
  <c r="M1866" i="1"/>
  <c r="AL1908" i="1"/>
  <c r="K1938" i="1"/>
  <c r="BI1938" i="1"/>
  <c r="AE1938" i="1" s="1"/>
  <c r="AX1938" i="1"/>
  <c r="AX1950" i="1"/>
  <c r="BI1950" i="1"/>
  <c r="AE1950" i="1" s="1"/>
  <c r="AL1749" i="1"/>
  <c r="K1750" i="1"/>
  <c r="BI1752" i="1"/>
  <c r="AE1752" i="1" s="1"/>
  <c r="AL1759" i="1"/>
  <c r="K1760" i="1"/>
  <c r="BI1762" i="1"/>
  <c r="AE1762" i="1" s="1"/>
  <c r="BI1767" i="1"/>
  <c r="AE1767" i="1" s="1"/>
  <c r="AX1767" i="1"/>
  <c r="AT1818" i="1"/>
  <c r="BI1876" i="1"/>
  <c r="AE1876" i="1" s="1"/>
  <c r="K1876" i="1"/>
  <c r="AX1876" i="1"/>
  <c r="AL1896" i="1"/>
  <c r="M1896" i="1"/>
  <c r="BH1923" i="1"/>
  <c r="AD1923" i="1" s="1"/>
  <c r="J1923" i="1"/>
  <c r="AW1923" i="1"/>
  <c r="AL1950" i="1"/>
  <c r="M1950" i="1"/>
  <c r="BC2303" i="1"/>
  <c r="AV2303" i="1"/>
  <c r="BC2309" i="1"/>
  <c r="AV2309" i="1"/>
  <c r="M1700" i="1"/>
  <c r="M1702" i="1"/>
  <c r="M1705" i="1"/>
  <c r="M1708" i="1"/>
  <c r="M1711" i="1"/>
  <c r="M1714" i="1"/>
  <c r="M1717" i="1"/>
  <c r="M1720" i="1"/>
  <c r="M1723" i="1"/>
  <c r="M1726" i="1"/>
  <c r="M1729" i="1"/>
  <c r="M1731" i="1"/>
  <c r="M1739" i="1"/>
  <c r="BI1741" i="1"/>
  <c r="AE1741" i="1" s="1"/>
  <c r="BI1763" i="1"/>
  <c r="AE1763" i="1" s="1"/>
  <c r="BC1768" i="1"/>
  <c r="BC1771" i="1"/>
  <c r="K1773" i="1"/>
  <c r="K1772" i="1" s="1"/>
  <c r="E51" i="2" s="1"/>
  <c r="BI1828" i="1"/>
  <c r="AE1828" i="1" s="1"/>
  <c r="K1828" i="1"/>
  <c r="AX1828" i="1"/>
  <c r="AV1828" i="1" s="1"/>
  <c r="L1894" i="1"/>
  <c r="F54" i="2" s="1"/>
  <c r="I54" i="2" s="1"/>
  <c r="AT1894" i="1"/>
  <c r="BI1901" i="1"/>
  <c r="AE1901" i="1" s="1"/>
  <c r="K1901" i="1"/>
  <c r="AX1901" i="1"/>
  <c r="AV1901" i="1" s="1"/>
  <c r="AL1914" i="1"/>
  <c r="AL1924" i="1"/>
  <c r="BF2151" i="1"/>
  <c r="O2150" i="1"/>
  <c r="G58" i="2" s="1"/>
  <c r="K2236" i="1"/>
  <c r="BI2236" i="1"/>
  <c r="AE2236" i="1" s="1"/>
  <c r="BH2266" i="1"/>
  <c r="AD2266" i="1" s="1"/>
  <c r="AW2266" i="1"/>
  <c r="AL2334" i="1"/>
  <c r="M2334" i="1"/>
  <c r="BH2367" i="1"/>
  <c r="AD2367" i="1" s="1"/>
  <c r="J2367" i="1"/>
  <c r="AW2367" i="1"/>
  <c r="J1769" i="1"/>
  <c r="J1821" i="1"/>
  <c r="J1824" i="1"/>
  <c r="O1894" i="1"/>
  <c r="G54" i="2" s="1"/>
  <c r="BH1911" i="1"/>
  <c r="AD1911" i="1" s="1"/>
  <c r="BH1918" i="1"/>
  <c r="AD1918" i="1" s="1"/>
  <c r="BH1936" i="1"/>
  <c r="AD1936" i="1" s="1"/>
  <c r="K1956" i="1"/>
  <c r="BH1991" i="1"/>
  <c r="AD1991" i="1" s="1"/>
  <c r="J1991" i="1"/>
  <c r="AW1991" i="1"/>
  <c r="AL2144" i="1"/>
  <c r="M2144" i="1"/>
  <c r="BC2144" i="1"/>
  <c r="BH2149" i="1"/>
  <c r="J2149" i="1"/>
  <c r="AW2149" i="1"/>
  <c r="BF2236" i="1"/>
  <c r="O2235" i="1"/>
  <c r="G61" i="2" s="1"/>
  <c r="J2266" i="1"/>
  <c r="BI2266" i="1"/>
  <c r="AE2266" i="1" s="1"/>
  <c r="K2266" i="1"/>
  <c r="AX2266" i="1"/>
  <c r="AW2271" i="1"/>
  <c r="J2271" i="1"/>
  <c r="BH2271" i="1"/>
  <c r="AD2271" i="1" s="1"/>
  <c r="BC2288" i="1"/>
  <c r="AV2288" i="1"/>
  <c r="K2355" i="1"/>
  <c r="BI2355" i="1"/>
  <c r="AE2355" i="1" s="1"/>
  <c r="BI2367" i="1"/>
  <c r="AE2367" i="1" s="1"/>
  <c r="K2367" i="1"/>
  <c r="AW1908" i="1"/>
  <c r="AX1948" i="1"/>
  <c r="BH1954" i="1"/>
  <c r="AD1954" i="1" s="1"/>
  <c r="J1954" i="1"/>
  <c r="AW1954" i="1"/>
  <c r="AL1956" i="1"/>
  <c r="M1956" i="1"/>
  <c r="BI1991" i="1"/>
  <c r="AE1991" i="1" s="1"/>
  <c r="K1991" i="1"/>
  <c r="AX1991" i="1"/>
  <c r="L2000" i="1"/>
  <c r="F55" i="2" s="1"/>
  <c r="I55" i="2" s="1"/>
  <c r="BI2149" i="1"/>
  <c r="K2149" i="1"/>
  <c r="AX2149" i="1"/>
  <c r="AX2236" i="1"/>
  <c r="AV2236" i="1" s="1"/>
  <c r="AW2317" i="1"/>
  <c r="J2317" i="1"/>
  <c r="BH2317" i="1"/>
  <c r="AD2317" i="1" s="1"/>
  <c r="AL2352" i="1"/>
  <c r="M2352" i="1"/>
  <c r="AX2367" i="1"/>
  <c r="AV1856" i="1"/>
  <c r="AX1913" i="1"/>
  <c r="AX1923" i="1"/>
  <c r="AV1924" i="1"/>
  <c r="K1932" i="1"/>
  <c r="AX1952" i="1"/>
  <c r="J1966" i="1"/>
  <c r="K1969" i="1"/>
  <c r="AL1985" i="1"/>
  <c r="M1985" i="1"/>
  <c r="BC1985" i="1"/>
  <c r="AV1985" i="1"/>
  <c r="BH2003" i="1"/>
  <c r="AD2003" i="1" s="1"/>
  <c r="J2003" i="1"/>
  <c r="AW2003" i="1"/>
  <c r="AS2150" i="1"/>
  <c r="AX2355" i="1"/>
  <c r="AV2355" i="1" s="1"/>
  <c r="J1918" i="1"/>
  <c r="BI2003" i="1"/>
  <c r="AE2003" i="1" s="1"/>
  <c r="K2003" i="1"/>
  <c r="AX2003" i="1"/>
  <c r="O2033" i="1"/>
  <c r="G56" i="2" s="1"/>
  <c r="AW2301" i="1"/>
  <c r="J2301" i="1"/>
  <c r="BH2301" i="1"/>
  <c r="AD2301" i="1" s="1"/>
  <c r="J1746" i="1"/>
  <c r="BH1910" i="1"/>
  <c r="AD1910" i="1" s="1"/>
  <c r="J1910" i="1"/>
  <c r="K1911" i="1"/>
  <c r="AV1915" i="1"/>
  <c r="BH1916" i="1"/>
  <c r="AD1916" i="1" s="1"/>
  <c r="J1916" i="1"/>
  <c r="K1918" i="1"/>
  <c r="BH1928" i="1"/>
  <c r="AD1928" i="1" s="1"/>
  <c r="J1928" i="1"/>
  <c r="AW1928" i="1"/>
  <c r="AL1930" i="1"/>
  <c r="M1930" i="1"/>
  <c r="AX1954" i="1"/>
  <c r="BH1962" i="1"/>
  <c r="AD1962" i="1" s="1"/>
  <c r="J1962" i="1"/>
  <c r="AW1962" i="1"/>
  <c r="AL1966" i="1"/>
  <c r="M1966" i="1"/>
  <c r="BH1982" i="1"/>
  <c r="AD1982" i="1" s="1"/>
  <c r="J1982" i="1"/>
  <c r="AW1982" i="1"/>
  <c r="AL2029" i="1"/>
  <c r="M2029" i="1"/>
  <c r="BH2124" i="1"/>
  <c r="AD2124" i="1" s="1"/>
  <c r="J2124" i="1"/>
  <c r="AW2124" i="1"/>
  <c r="M2258" i="1"/>
  <c r="J1936" i="1"/>
  <c r="BI1948" i="1"/>
  <c r="AE1948" i="1" s="1"/>
  <c r="AL1976" i="1"/>
  <c r="M1976" i="1"/>
  <c r="BC1976" i="1"/>
  <c r="AV1976" i="1"/>
  <c r="BI1982" i="1"/>
  <c r="AE1982" i="1" s="1"/>
  <c r="K1982" i="1"/>
  <c r="AX1982" i="1"/>
  <c r="BI2124" i="1"/>
  <c r="AE2124" i="1" s="1"/>
  <c r="K2124" i="1"/>
  <c r="AX2124" i="1"/>
  <c r="AL2221" i="1"/>
  <c r="AU2150" i="1" s="1"/>
  <c r="M2221" i="1"/>
  <c r="AW2268" i="1"/>
  <c r="J2268" i="1"/>
  <c r="BH2268" i="1"/>
  <c r="AD2268" i="1" s="1"/>
  <c r="BH1908" i="1"/>
  <c r="AD1908" i="1" s="1"/>
  <c r="BI1913" i="1"/>
  <c r="AE1913" i="1" s="1"/>
  <c r="BI1923" i="1"/>
  <c r="AE1923" i="1" s="1"/>
  <c r="BH1973" i="1"/>
  <c r="AD1973" i="1" s="1"/>
  <c r="J1973" i="1"/>
  <c r="AW1973" i="1"/>
  <c r="BI1985" i="1"/>
  <c r="AE1985" i="1" s="1"/>
  <c r="M1825" i="1"/>
  <c r="M1828" i="1"/>
  <c r="M1831" i="1"/>
  <c r="M1834" i="1"/>
  <c r="M1837" i="1"/>
  <c r="M1840" i="1"/>
  <c r="M1843" i="1"/>
  <c r="M1846" i="1"/>
  <c r="M1849" i="1"/>
  <c r="M1852" i="1"/>
  <c r="M1855" i="1"/>
  <c r="M1858" i="1"/>
  <c r="M1861" i="1"/>
  <c r="M1864" i="1"/>
  <c r="M1870" i="1"/>
  <c r="M1876" i="1"/>
  <c r="M1882" i="1"/>
  <c r="M1888" i="1"/>
  <c r="M1893" i="1"/>
  <c r="M1895" i="1"/>
  <c r="M1898" i="1"/>
  <c r="M1901" i="1"/>
  <c r="M1904" i="1"/>
  <c r="BI1914" i="1"/>
  <c r="AE1914" i="1" s="1"/>
  <c r="BI1924" i="1"/>
  <c r="AE1924" i="1" s="1"/>
  <c r="BH1934" i="1"/>
  <c r="AD1934" i="1" s="1"/>
  <c r="J1934" i="1"/>
  <c r="AW1934" i="1"/>
  <c r="AL1936" i="1"/>
  <c r="M1936" i="1"/>
  <c r="BI1952" i="1"/>
  <c r="AE1952" i="1" s="1"/>
  <c r="BI1956" i="1"/>
  <c r="AE1956" i="1" s="1"/>
  <c r="BH2315" i="1"/>
  <c r="AD2315" i="1" s="1"/>
  <c r="AW2315" i="1"/>
  <c r="J1762" i="1"/>
  <c r="J1765" i="1"/>
  <c r="J1768" i="1"/>
  <c r="J1771" i="1"/>
  <c r="J1773" i="1"/>
  <c r="J1802" i="1"/>
  <c r="J1811" i="1"/>
  <c r="J1820" i="1"/>
  <c r="J1823" i="1"/>
  <c r="J1826" i="1"/>
  <c r="J1829" i="1"/>
  <c r="J1832" i="1"/>
  <c r="J1835" i="1"/>
  <c r="J1838" i="1"/>
  <c r="J1841" i="1"/>
  <c r="J1844" i="1"/>
  <c r="J1847" i="1"/>
  <c r="J1850" i="1"/>
  <c r="J1853" i="1"/>
  <c r="J1856" i="1"/>
  <c r="J1859" i="1"/>
  <c r="J1862" i="1"/>
  <c r="J1866" i="1"/>
  <c r="J1872" i="1"/>
  <c r="J1878" i="1"/>
  <c r="J1884" i="1"/>
  <c r="J1890" i="1"/>
  <c r="J1896" i="1"/>
  <c r="J1899" i="1"/>
  <c r="J1902" i="1"/>
  <c r="J1905" i="1"/>
  <c r="O2000" i="1"/>
  <c r="G55" i="2" s="1"/>
  <c r="BH2021" i="1"/>
  <c r="AD2021" i="1" s="1"/>
  <c r="J2021" i="1"/>
  <c r="AW2021" i="1"/>
  <c r="L2033" i="1"/>
  <c r="F56" i="2" s="1"/>
  <c r="I56" i="2" s="1"/>
  <c r="J2315" i="1"/>
  <c r="BI2315" i="1"/>
  <c r="AE2315" i="1" s="1"/>
  <c r="K2315" i="1"/>
  <c r="AX2315" i="1"/>
  <c r="AW2318" i="1"/>
  <c r="J2318" i="1"/>
  <c r="BH2318" i="1"/>
  <c r="AD2318" i="1" s="1"/>
  <c r="AL2231" i="1"/>
  <c r="AU2230" i="1" s="1"/>
  <c r="M2231" i="1"/>
  <c r="AL2240" i="1"/>
  <c r="M2240" i="1"/>
  <c r="AL2247" i="1"/>
  <c r="M2247" i="1"/>
  <c r="AL2249" i="1"/>
  <c r="M2249" i="1"/>
  <c r="AL2254" i="1"/>
  <c r="AL2256" i="1"/>
  <c r="M2256" i="1"/>
  <c r="AL2257" i="1"/>
  <c r="M2257" i="1"/>
  <c r="AL2258" i="1"/>
  <c r="AL2259" i="1"/>
  <c r="M2259" i="1"/>
  <c r="AL2260" i="1"/>
  <c r="M2260" i="1"/>
  <c r="AL2262" i="1"/>
  <c r="AL2264" i="1"/>
  <c r="M2264" i="1"/>
  <c r="K2338" i="1"/>
  <c r="BI2338" i="1"/>
  <c r="AE2338" i="1" s="1"/>
  <c r="BH2364" i="1"/>
  <c r="AD2364" i="1" s="1"/>
  <c r="J2364" i="1"/>
  <c r="AW2364" i="1"/>
  <c r="BI2231" i="1"/>
  <c r="AE2231" i="1" s="1"/>
  <c r="K2231" i="1"/>
  <c r="K2230" i="1" s="1"/>
  <c r="E60" i="2" s="1"/>
  <c r="BI2240" i="1"/>
  <c r="AE2240" i="1" s="1"/>
  <c r="K2240" i="1"/>
  <c r="BI2249" i="1"/>
  <c r="AE2249" i="1" s="1"/>
  <c r="K2249" i="1"/>
  <c r="BI2257" i="1"/>
  <c r="AE2257" i="1" s="1"/>
  <c r="K2257" i="1"/>
  <c r="BI2260" i="1"/>
  <c r="AE2260" i="1" s="1"/>
  <c r="K2260" i="1"/>
  <c r="BC2324" i="1"/>
  <c r="AV2324" i="1"/>
  <c r="AV2326" i="1"/>
  <c r="AL2338" i="1"/>
  <c r="M2338" i="1"/>
  <c r="AW2350" i="1"/>
  <c r="BH2350" i="1"/>
  <c r="AD2350" i="1" s="1"/>
  <c r="BI2364" i="1"/>
  <c r="AE2364" i="1" s="1"/>
  <c r="K2364" i="1"/>
  <c r="AX2338" i="1"/>
  <c r="AV2338" i="1" s="1"/>
  <c r="BI2350" i="1"/>
  <c r="AE2350" i="1" s="1"/>
  <c r="AX2350" i="1"/>
  <c r="AW2353" i="1"/>
  <c r="BH2353" i="1"/>
  <c r="AD2353" i="1" s="1"/>
  <c r="BI2400" i="1"/>
  <c r="AE2400" i="1" s="1"/>
  <c r="K2400" i="1"/>
  <c r="AX2400" i="1"/>
  <c r="AV2144" i="1"/>
  <c r="AW2231" i="1"/>
  <c r="AW2240" i="1"/>
  <c r="AW2249" i="1"/>
  <c r="AW2257" i="1"/>
  <c r="AW2260" i="1"/>
  <c r="J2285" i="1"/>
  <c r="BI2288" i="1"/>
  <c r="AE2288" i="1" s="1"/>
  <c r="K2288" i="1"/>
  <c r="J2304" i="1"/>
  <c r="BI2309" i="1"/>
  <c r="AE2309" i="1" s="1"/>
  <c r="K2309" i="1"/>
  <c r="J2320" i="1"/>
  <c r="AL2350" i="1"/>
  <c r="M2350" i="1"/>
  <c r="J2353" i="1"/>
  <c r="BI2353" i="1"/>
  <c r="AE2353" i="1" s="1"/>
  <c r="K2353" i="1"/>
  <c r="BF2364" i="1"/>
  <c r="O2359" i="1"/>
  <c r="G63" i="2" s="1"/>
  <c r="AV2234" i="1"/>
  <c r="AX2242" i="1"/>
  <c r="AV2242" i="1" s="1"/>
  <c r="AX2254" i="1"/>
  <c r="BC2254" i="1" s="1"/>
  <c r="AX2258" i="1"/>
  <c r="AV2258" i="1" s="1"/>
  <c r="AW2333" i="1"/>
  <c r="BH2333" i="1"/>
  <c r="AD2333" i="1" s="1"/>
  <c r="AL2353" i="1"/>
  <c r="M2353" i="1"/>
  <c r="AV2404" i="1"/>
  <c r="BC2404" i="1"/>
  <c r="AL2285" i="1"/>
  <c r="AL2304" i="1"/>
  <c r="AL2320" i="1"/>
  <c r="BI2333" i="1"/>
  <c r="AE2333" i="1" s="1"/>
  <c r="AX2333" i="1"/>
  <c r="AW2336" i="1"/>
  <c r="BH2336" i="1"/>
  <c r="AD2336" i="1" s="1"/>
  <c r="AT2359" i="1"/>
  <c r="BC2387" i="1"/>
  <c r="AV2387" i="1"/>
  <c r="BH2397" i="1"/>
  <c r="AD2397" i="1" s="1"/>
  <c r="J2397" i="1"/>
  <c r="AW2397" i="1"/>
  <c r="AL2227" i="1"/>
  <c r="AL2228" i="1"/>
  <c r="M2228" i="1"/>
  <c r="AL2229" i="1"/>
  <c r="M2229" i="1"/>
  <c r="AL2236" i="1"/>
  <c r="AL2237" i="1"/>
  <c r="M2237" i="1"/>
  <c r="AL2238" i="1"/>
  <c r="M2238" i="1"/>
  <c r="L2239" i="1"/>
  <c r="F62" i="2" s="1"/>
  <c r="I62" i="2" s="1"/>
  <c r="BH2242" i="1"/>
  <c r="AD2242" i="1" s="1"/>
  <c r="BH2254" i="1"/>
  <c r="AD2254" i="1" s="1"/>
  <c r="BH2258" i="1"/>
  <c r="AD2258" i="1" s="1"/>
  <c r="BH2262" i="1"/>
  <c r="AD2262" i="1" s="1"/>
  <c r="BH2264" i="1"/>
  <c r="AD2264" i="1" s="1"/>
  <c r="BC2285" i="1"/>
  <c r="AV2285" i="1"/>
  <c r="BH2290" i="1"/>
  <c r="AD2290" i="1" s="1"/>
  <c r="BH2292" i="1"/>
  <c r="AD2292" i="1" s="1"/>
  <c r="BC2304" i="1"/>
  <c r="AV2304" i="1"/>
  <c r="BH2311" i="1"/>
  <c r="AD2311" i="1" s="1"/>
  <c r="BH2314" i="1"/>
  <c r="AD2314" i="1" s="1"/>
  <c r="AV2320" i="1"/>
  <c r="BC2322" i="1"/>
  <c r="AL2333" i="1"/>
  <c r="M2333" i="1"/>
  <c r="J2336" i="1"/>
  <c r="BI2336" i="1"/>
  <c r="AE2336" i="1" s="1"/>
  <c r="K2336" i="1"/>
  <c r="BH2373" i="1"/>
  <c r="AD2373" i="1" s="1"/>
  <c r="J2373" i="1"/>
  <c r="AW2373" i="1"/>
  <c r="BC2385" i="1"/>
  <c r="BH2223" i="1"/>
  <c r="AD2223" i="1" s="1"/>
  <c r="BI2229" i="1"/>
  <c r="K2229" i="1"/>
  <c r="BH2234" i="1"/>
  <c r="BI2238" i="1"/>
  <c r="K2238" i="1"/>
  <c r="BH2247" i="1"/>
  <c r="AD2247" i="1" s="1"/>
  <c r="BH2256" i="1"/>
  <c r="AD2256" i="1" s="1"/>
  <c r="BH2259" i="1"/>
  <c r="AD2259" i="1" s="1"/>
  <c r="BI2280" i="1"/>
  <c r="AE2280" i="1" s="1"/>
  <c r="K2280" i="1"/>
  <c r="BC2286" i="1"/>
  <c r="BI2303" i="1"/>
  <c r="AE2303" i="1" s="1"/>
  <c r="K2303" i="1"/>
  <c r="BC2306" i="1"/>
  <c r="BI2319" i="1"/>
  <c r="AE2319" i="1" s="1"/>
  <c r="K2319" i="1"/>
  <c r="AL2336" i="1"/>
  <c r="M2336" i="1"/>
  <c r="AW2352" i="1"/>
  <c r="BH2352" i="1"/>
  <c r="AD2352" i="1" s="1"/>
  <c r="AS2359" i="1"/>
  <c r="BI2373" i="1"/>
  <c r="AE2373" i="1" s="1"/>
  <c r="K2373" i="1"/>
  <c r="AX2373" i="1"/>
  <c r="BC2383" i="1"/>
  <c r="AV2383" i="1"/>
  <c r="BI2397" i="1"/>
  <c r="AE2397" i="1" s="1"/>
  <c r="K2397" i="1"/>
  <c r="AX2397" i="1"/>
  <c r="BC2408" i="1"/>
  <c r="AV2408" i="1"/>
  <c r="AL2362" i="1"/>
  <c r="M2362" i="1"/>
  <c r="BH2393" i="1"/>
  <c r="AD2393" i="1" s="1"/>
  <c r="J2393" i="1"/>
  <c r="AW2393" i="1"/>
  <c r="BC2402" i="1"/>
  <c r="AV2402" i="1"/>
  <c r="AV2412" i="1"/>
  <c r="BC2412" i="1"/>
  <c r="AL2416" i="1"/>
  <c r="M2416" i="1"/>
  <c r="BC2430" i="1"/>
  <c r="AL2332" i="1"/>
  <c r="M2332" i="1"/>
  <c r="AL2348" i="1"/>
  <c r="M2348" i="1"/>
  <c r="BC2375" i="1"/>
  <c r="BI2393" i="1"/>
  <c r="AE2393" i="1" s="1"/>
  <c r="K2393" i="1"/>
  <c r="AX2393" i="1"/>
  <c r="AL2480" i="1"/>
  <c r="M2480" i="1"/>
  <c r="M2485" i="1"/>
  <c r="AL2331" i="1"/>
  <c r="M2331" i="1"/>
  <c r="BI2332" i="1"/>
  <c r="AE2332" i="1" s="1"/>
  <c r="K2332" i="1"/>
  <c r="AL2346" i="1"/>
  <c r="M2346" i="1"/>
  <c r="BI2348" i="1"/>
  <c r="AE2348" i="1" s="1"/>
  <c r="K2348" i="1"/>
  <c r="BH2389" i="1"/>
  <c r="AD2389" i="1" s="1"/>
  <c r="J2389" i="1"/>
  <c r="AW2389" i="1"/>
  <c r="AL2475" i="1"/>
  <c r="M2475" i="1"/>
  <c r="M2271" i="1"/>
  <c r="M2286" i="1"/>
  <c r="M2292" i="1"/>
  <c r="M2302" i="1"/>
  <c r="M2306" i="1"/>
  <c r="M2314" i="1"/>
  <c r="M2318" i="1"/>
  <c r="M2322" i="1"/>
  <c r="J2324" i="1"/>
  <c r="K2330" i="1"/>
  <c r="BC2330" i="1"/>
  <c r="AV2332" i="1"/>
  <c r="K2344" i="1"/>
  <c r="BC2344" i="1"/>
  <c r="AV2360" i="1"/>
  <c r="BC2366" i="1"/>
  <c r="BI2389" i="1"/>
  <c r="AE2389" i="1" s="1"/>
  <c r="K2389" i="1"/>
  <c r="AX2389" i="1"/>
  <c r="AL2411" i="1"/>
  <c r="M2411" i="1"/>
  <c r="AX2443" i="1"/>
  <c r="BI2443" i="1"/>
  <c r="AE2443" i="1" s="1"/>
  <c r="AL2472" i="1"/>
  <c r="M2472" i="1"/>
  <c r="AL2330" i="1"/>
  <c r="M2330" i="1"/>
  <c r="AL2344" i="1"/>
  <c r="M2344" i="1"/>
  <c r="AX2348" i="1"/>
  <c r="BC2348" i="1" s="1"/>
  <c r="J2356" i="1"/>
  <c r="BC2357" i="1"/>
  <c r="AV2357" i="1"/>
  <c r="BH2386" i="1"/>
  <c r="AD2386" i="1" s="1"/>
  <c r="J2386" i="1"/>
  <c r="AW2386" i="1"/>
  <c r="AL2469" i="1"/>
  <c r="M2469" i="1"/>
  <c r="AL2324" i="1"/>
  <c r="M2324" i="1"/>
  <c r="M2326" i="1"/>
  <c r="AL2328" i="1"/>
  <c r="M2328" i="1"/>
  <c r="AV2330" i="1"/>
  <c r="AL2343" i="1"/>
  <c r="M2343" i="1"/>
  <c r="AV2344" i="1"/>
  <c r="BI2357" i="1"/>
  <c r="AE2357" i="1" s="1"/>
  <c r="K2357" i="1"/>
  <c r="BI2386" i="1"/>
  <c r="AE2386" i="1" s="1"/>
  <c r="K2386" i="1"/>
  <c r="AX2386" i="1"/>
  <c r="BC2395" i="1"/>
  <c r="AV2395" i="1"/>
  <c r="BH2406" i="1"/>
  <c r="AD2406" i="1" s="1"/>
  <c r="J2406" i="1"/>
  <c r="AW2406" i="1"/>
  <c r="AL2466" i="1"/>
  <c r="M2466" i="1"/>
  <c r="BI2328" i="1"/>
  <c r="AE2328" i="1" s="1"/>
  <c r="K2328" i="1"/>
  <c r="AL2340" i="1"/>
  <c r="M2340" i="1"/>
  <c r="BI2343" i="1"/>
  <c r="AE2343" i="1" s="1"/>
  <c r="K2343" i="1"/>
  <c r="AL2356" i="1"/>
  <c r="M2356" i="1"/>
  <c r="BH2358" i="1"/>
  <c r="BH2360" i="1"/>
  <c r="AD2360" i="1" s="1"/>
  <c r="BH2365" i="1"/>
  <c r="AD2365" i="1" s="1"/>
  <c r="BH2369" i="1"/>
  <c r="AD2369" i="1" s="1"/>
  <c r="BH2381" i="1"/>
  <c r="AD2381" i="1" s="1"/>
  <c r="J2381" i="1"/>
  <c r="AW2381" i="1"/>
  <c r="BI2406" i="1"/>
  <c r="AE2406" i="1" s="1"/>
  <c r="K2406" i="1"/>
  <c r="AX2406" i="1"/>
  <c r="BI2410" i="1"/>
  <c r="AE2410" i="1" s="1"/>
  <c r="K2410" i="1"/>
  <c r="AX2410" i="1"/>
  <c r="J2415" i="1"/>
  <c r="BH2415" i="1"/>
  <c r="AD2415" i="1" s="1"/>
  <c r="AW2415" i="1"/>
  <c r="AL2461" i="1"/>
  <c r="M2461" i="1"/>
  <c r="M2266" i="1"/>
  <c r="M2280" i="1"/>
  <c r="M2288" i="1"/>
  <c r="M2295" i="1"/>
  <c r="M2303" i="1"/>
  <c r="M2309" i="1"/>
  <c r="M2315" i="1"/>
  <c r="M2319" i="1"/>
  <c r="BH2332" i="1"/>
  <c r="AD2332" i="1" s="1"/>
  <c r="BH2348" i="1"/>
  <c r="AD2348" i="1" s="1"/>
  <c r="BI2381" i="1"/>
  <c r="AE2381" i="1" s="1"/>
  <c r="K2381" i="1"/>
  <c r="AX2381" i="1"/>
  <c r="AV2388" i="1"/>
  <c r="BH2400" i="1"/>
  <c r="AD2400" i="1" s="1"/>
  <c r="J2400" i="1"/>
  <c r="AW2400" i="1"/>
  <c r="K2415" i="1"/>
  <c r="BI2415" i="1"/>
  <c r="AE2415" i="1" s="1"/>
  <c r="AX2415" i="1"/>
  <c r="BI2422" i="1"/>
  <c r="AE2422" i="1" s="1"/>
  <c r="K2422" i="1"/>
  <c r="AX2422" i="1"/>
  <c r="BC2422" i="1" s="1"/>
  <c r="AL2429" i="1"/>
  <c r="M2429" i="1"/>
  <c r="BH2434" i="1"/>
  <c r="AD2434" i="1" s="1"/>
  <c r="J2434" i="1"/>
  <c r="BI2435" i="1"/>
  <c r="AE2435" i="1" s="1"/>
  <c r="K2435" i="1"/>
  <c r="AX2435" i="1"/>
  <c r="BC2435" i="1" s="1"/>
  <c r="AL2443" i="1"/>
  <c r="M2443" i="1"/>
  <c r="AL2454" i="1"/>
  <c r="M2454" i="1"/>
  <c r="BI2613" i="1"/>
  <c r="AG2613" i="1" s="1"/>
  <c r="K2613" i="1"/>
  <c r="AX2613" i="1"/>
  <c r="M2355" i="1"/>
  <c r="M2358" i="1"/>
  <c r="M2360" i="1"/>
  <c r="M2365" i="1"/>
  <c r="M2369" i="1"/>
  <c r="M2375" i="1"/>
  <c r="M2383" i="1"/>
  <c r="M2387" i="1"/>
  <c r="M2390" i="1"/>
  <c r="M2395" i="1"/>
  <c r="M2398" i="1"/>
  <c r="M2402" i="1"/>
  <c r="M2408" i="1"/>
  <c r="BH2409" i="1"/>
  <c r="AD2409" i="1" s="1"/>
  <c r="J2412" i="1"/>
  <c r="BI2412" i="1"/>
  <c r="AE2412" i="1" s="1"/>
  <c r="K2418" i="1"/>
  <c r="AL2420" i="1"/>
  <c r="M2420" i="1"/>
  <c r="BI2424" i="1"/>
  <c r="AE2424" i="1" s="1"/>
  <c r="AL2434" i="1"/>
  <c r="M2434" i="1"/>
  <c r="BI2437" i="1"/>
  <c r="AE2437" i="1" s="1"/>
  <c r="AL2449" i="1"/>
  <c r="M2449" i="1"/>
  <c r="AL2418" i="1"/>
  <c r="M2418" i="1"/>
  <c r="BC2477" i="1"/>
  <c r="K2495" i="1"/>
  <c r="BI2495" i="1"/>
  <c r="AE2495" i="1" s="1"/>
  <c r="AX2495" i="1"/>
  <c r="AV2495" i="1" s="1"/>
  <c r="BI2417" i="1"/>
  <c r="AE2417" i="1" s="1"/>
  <c r="K2417" i="1"/>
  <c r="K2433" i="1"/>
  <c r="BI2449" i="1"/>
  <c r="AE2449" i="1" s="1"/>
  <c r="BI2465" i="1"/>
  <c r="AE2465" i="1" s="1"/>
  <c r="K2465" i="1"/>
  <c r="AX2465" i="1"/>
  <c r="BC2465" i="1" s="1"/>
  <c r="BI2468" i="1"/>
  <c r="AE2468" i="1" s="1"/>
  <c r="K2468" i="1"/>
  <c r="AX2468" i="1"/>
  <c r="BC2468" i="1" s="1"/>
  <c r="BI2471" i="1"/>
  <c r="AE2471" i="1" s="1"/>
  <c r="K2471" i="1"/>
  <c r="AX2471" i="1"/>
  <c r="BC2471" i="1" s="1"/>
  <c r="BI2474" i="1"/>
  <c r="AE2474" i="1" s="1"/>
  <c r="K2474" i="1"/>
  <c r="AX2474" i="1"/>
  <c r="BC2474" i="1" s="1"/>
  <c r="AL2569" i="1"/>
  <c r="M2569" i="1"/>
  <c r="L2537" i="1"/>
  <c r="AX2572" i="1"/>
  <c r="BI2572" i="1"/>
  <c r="AG2572" i="1" s="1"/>
  <c r="K2572" i="1"/>
  <c r="AX2418" i="1"/>
  <c r="AV2418" i="1" s="1"/>
  <c r="BH2426" i="1"/>
  <c r="AD2426" i="1" s="1"/>
  <c r="J2426" i="1"/>
  <c r="BI2428" i="1"/>
  <c r="AE2428" i="1" s="1"/>
  <c r="K2428" i="1"/>
  <c r="AX2428" i="1"/>
  <c r="BC2428" i="1" s="1"/>
  <c r="AL2433" i="1"/>
  <c r="M2433" i="1"/>
  <c r="BH2439" i="1"/>
  <c r="AD2439" i="1" s="1"/>
  <c r="J2439" i="1"/>
  <c r="BI2441" i="1"/>
  <c r="AE2441" i="1" s="1"/>
  <c r="K2441" i="1"/>
  <c r="AX2441" i="1"/>
  <c r="BC2441" i="1" s="1"/>
  <c r="BI2457" i="1"/>
  <c r="AE2457" i="1" s="1"/>
  <c r="K2457" i="1"/>
  <c r="AX2457" i="1"/>
  <c r="AV2457" i="1" s="1"/>
  <c r="BI2460" i="1"/>
  <c r="K2460" i="1"/>
  <c r="AX2460" i="1"/>
  <c r="AV2460" i="1" s="1"/>
  <c r="BC2481" i="1"/>
  <c r="AV2481" i="1"/>
  <c r="M2366" i="1"/>
  <c r="M2371" i="1"/>
  <c r="M2378" i="1"/>
  <c r="M2385" i="1"/>
  <c r="M2388" i="1"/>
  <c r="M2391" i="1"/>
  <c r="M2396" i="1"/>
  <c r="M2399" i="1"/>
  <c r="M2404" i="1"/>
  <c r="M2409" i="1"/>
  <c r="AX2417" i="1"/>
  <c r="BC2417" i="1" s="1"/>
  <c r="AL2426" i="1"/>
  <c r="M2426" i="1"/>
  <c r="AL2439" i="1"/>
  <c r="M2439" i="1"/>
  <c r="BI2447" i="1"/>
  <c r="AE2447" i="1" s="1"/>
  <c r="K2447" i="1"/>
  <c r="AX2447" i="1"/>
  <c r="BC2447" i="1" s="1"/>
  <c r="BI2453" i="1"/>
  <c r="AE2453" i="1" s="1"/>
  <c r="K2453" i="1"/>
  <c r="AX2453" i="1"/>
  <c r="AV2453" i="1" s="1"/>
  <c r="J2478" i="1"/>
  <c r="BH2478" i="1"/>
  <c r="AD2478" i="1" s="1"/>
  <c r="AW2478" i="1"/>
  <c r="AW2426" i="1"/>
  <c r="AX2433" i="1"/>
  <c r="AW2439" i="1"/>
  <c r="K2478" i="1"/>
  <c r="BI2478" i="1"/>
  <c r="AE2478" i="1" s="1"/>
  <c r="AX2478" i="1"/>
  <c r="BH2416" i="1"/>
  <c r="AD2416" i="1" s="1"/>
  <c r="BH2418" i="1"/>
  <c r="AD2418" i="1" s="1"/>
  <c r="AL2424" i="1"/>
  <c r="M2424" i="1"/>
  <c r="BH2430" i="1"/>
  <c r="AD2430" i="1" s="1"/>
  <c r="J2430" i="1"/>
  <c r="BI2431" i="1"/>
  <c r="AE2431" i="1" s="1"/>
  <c r="K2431" i="1"/>
  <c r="AX2431" i="1"/>
  <c r="BC2431" i="1" s="1"/>
  <c r="AL2437" i="1"/>
  <c r="M2437" i="1"/>
  <c r="M2357" i="1"/>
  <c r="M2364" i="1"/>
  <c r="M2367" i="1"/>
  <c r="M2373" i="1"/>
  <c r="M2381" i="1"/>
  <c r="M2386" i="1"/>
  <c r="M2389" i="1"/>
  <c r="M2393" i="1"/>
  <c r="M2397" i="1"/>
  <c r="M2400" i="1"/>
  <c r="M2406" i="1"/>
  <c r="J2411" i="1"/>
  <c r="BH2417" i="1"/>
  <c r="AD2417" i="1" s="1"/>
  <c r="AL2430" i="1"/>
  <c r="M2430" i="1"/>
  <c r="BH2481" i="1"/>
  <c r="AD2481" i="1" s="1"/>
  <c r="J2503" i="1"/>
  <c r="BC2514" i="1"/>
  <c r="AV2514" i="1"/>
  <c r="BC2519" i="1"/>
  <c r="AV2519" i="1"/>
  <c r="AL2572" i="1"/>
  <c r="M2572" i="1"/>
  <c r="J2445" i="1"/>
  <c r="J2451" i="1"/>
  <c r="J2456" i="1"/>
  <c r="J2459" i="1"/>
  <c r="BH2459" i="1"/>
  <c r="AD2459" i="1" s="1"/>
  <c r="J2463" i="1"/>
  <c r="J2467" i="1"/>
  <c r="J2470" i="1"/>
  <c r="J2473" i="1"/>
  <c r="J2476" i="1"/>
  <c r="BI2485" i="1"/>
  <c r="AE2485" i="1" s="1"/>
  <c r="K2485" i="1"/>
  <c r="AL2487" i="1"/>
  <c r="M2487" i="1"/>
  <c r="BH2491" i="1"/>
  <c r="AD2491" i="1" s="1"/>
  <c r="BI2499" i="1"/>
  <c r="AE2499" i="1" s="1"/>
  <c r="K2499" i="1"/>
  <c r="J2505" i="1"/>
  <c r="AX2510" i="1"/>
  <c r="BC2510" i="1" s="1"/>
  <c r="BI2510" i="1"/>
  <c r="AE2510" i="1" s="1"/>
  <c r="K2510" i="1"/>
  <c r="BI2639" i="1"/>
  <c r="AG2639" i="1" s="1"/>
  <c r="K2639" i="1"/>
  <c r="AX2639" i="1"/>
  <c r="BH2509" i="1"/>
  <c r="AD2509" i="1" s="1"/>
  <c r="J2509" i="1"/>
  <c r="BH2534" i="1"/>
  <c r="AD2534" i="1" s="1"/>
  <c r="J2534" i="1"/>
  <c r="AW2534" i="1"/>
  <c r="J2628" i="1"/>
  <c r="BH2628" i="1"/>
  <c r="AF2628" i="1" s="1"/>
  <c r="AW2628" i="1"/>
  <c r="M2481" i="1"/>
  <c r="M2488" i="1"/>
  <c r="J2491" i="1"/>
  <c r="AX2501" i="1"/>
  <c r="BC2501" i="1" s="1"/>
  <c r="AL2504" i="1"/>
  <c r="M2506" i="1"/>
  <c r="AL2507" i="1"/>
  <c r="BH2526" i="1"/>
  <c r="AD2526" i="1" s="1"/>
  <c r="J2526" i="1"/>
  <c r="AW2526" i="1"/>
  <c r="AS2537" i="1"/>
  <c r="BI2607" i="1"/>
  <c r="AG2607" i="1" s="1"/>
  <c r="K2607" i="1"/>
  <c r="AX2607" i="1"/>
  <c r="AW2424" i="1"/>
  <c r="AW2429" i="1"/>
  <c r="AW2433" i="1"/>
  <c r="AW2437" i="1"/>
  <c r="AW2443" i="1"/>
  <c r="M2445" i="1"/>
  <c r="AW2449" i="1"/>
  <c r="M2451" i="1"/>
  <c r="AW2454" i="1"/>
  <c r="M2456" i="1"/>
  <c r="AW2458" i="1"/>
  <c r="M2459" i="1"/>
  <c r="AW2461" i="1"/>
  <c r="M2463" i="1"/>
  <c r="AW2466" i="1"/>
  <c r="M2467" i="1"/>
  <c r="AW2469" i="1"/>
  <c r="M2470" i="1"/>
  <c r="AW2472" i="1"/>
  <c r="M2473" i="1"/>
  <c r="AW2475" i="1"/>
  <c r="M2476" i="1"/>
  <c r="BH2477" i="1"/>
  <c r="AD2477" i="1" s="1"/>
  <c r="AW2480" i="1"/>
  <c r="AX2485" i="1"/>
  <c r="AX2486" i="1"/>
  <c r="BC2486" i="1" s="1"/>
  <c r="AW2487" i="1"/>
  <c r="AX2499" i="1"/>
  <c r="BI2503" i="1"/>
  <c r="AE2503" i="1" s="1"/>
  <c r="K2503" i="1"/>
  <c r="BC2504" i="1"/>
  <c r="AV2504" i="1"/>
  <c r="BH2510" i="1"/>
  <c r="AD2510" i="1" s="1"/>
  <c r="J2624" i="1"/>
  <c r="BH2624" i="1"/>
  <c r="AF2624" i="1" s="1"/>
  <c r="AW2624" i="1"/>
  <c r="BI2481" i="1"/>
  <c r="AE2481" i="1" s="1"/>
  <c r="K2481" i="1"/>
  <c r="AL2483" i="1"/>
  <c r="BI2488" i="1"/>
  <c r="AE2488" i="1" s="1"/>
  <c r="K2488" i="1"/>
  <c r="AL2491" i="1"/>
  <c r="M2491" i="1"/>
  <c r="AW2505" i="1"/>
  <c r="BI2507" i="1"/>
  <c r="AE2507" i="1" s="1"/>
  <c r="K2507" i="1"/>
  <c r="AW2509" i="1"/>
  <c r="BH2522" i="1"/>
  <c r="AD2522" i="1" s="1"/>
  <c r="J2522" i="1"/>
  <c r="AW2522" i="1"/>
  <c r="AX2544" i="1"/>
  <c r="K2544" i="1"/>
  <c r="BI2544" i="1"/>
  <c r="AG2544" i="1" s="1"/>
  <c r="BI2574" i="1"/>
  <c r="AG2574" i="1" s="1"/>
  <c r="K2574" i="1"/>
  <c r="AX2574" i="1"/>
  <c r="BH2501" i="1"/>
  <c r="AD2501" i="1" s="1"/>
  <c r="AX2507" i="1"/>
  <c r="BC2507" i="1" s="1"/>
  <c r="AL2540" i="1"/>
  <c r="M2540" i="1"/>
  <c r="BF2620" i="1"/>
  <c r="O2537" i="1"/>
  <c r="M2477" i="1"/>
  <c r="BH2485" i="1"/>
  <c r="AD2485" i="1" s="1"/>
  <c r="BH2486" i="1"/>
  <c r="AD2486" i="1" s="1"/>
  <c r="BH2499" i="1"/>
  <c r="AD2499" i="1" s="1"/>
  <c r="AX2503" i="1"/>
  <c r="BC2503" i="1" s="1"/>
  <c r="BH2513" i="1"/>
  <c r="AD2513" i="1" s="1"/>
  <c r="J2513" i="1"/>
  <c r="AW2513" i="1"/>
  <c r="BH2518" i="1"/>
  <c r="AD2518" i="1" s="1"/>
  <c r="J2518" i="1"/>
  <c r="AW2518" i="1"/>
  <c r="AX2488" i="1"/>
  <c r="BC2488" i="1" s="1"/>
  <c r="AL2495" i="1"/>
  <c r="M2564" i="1"/>
  <c r="J2424" i="1"/>
  <c r="J2429" i="1"/>
  <c r="J2433" i="1"/>
  <c r="J2437" i="1"/>
  <c r="J2443" i="1"/>
  <c r="J2449" i="1"/>
  <c r="J2454" i="1"/>
  <c r="J2458" i="1"/>
  <c r="J2461" i="1"/>
  <c r="BI2477" i="1"/>
  <c r="AE2477" i="1" s="1"/>
  <c r="K2477" i="1"/>
  <c r="J2480" i="1"/>
  <c r="BI2493" i="1"/>
  <c r="AE2493" i="1" s="1"/>
  <c r="K2493" i="1"/>
  <c r="AL2497" i="1"/>
  <c r="M2497" i="1"/>
  <c r="BH2504" i="1"/>
  <c r="AD2504" i="1" s="1"/>
  <c r="BH2507" i="1"/>
  <c r="AD2507" i="1" s="1"/>
  <c r="AX2539" i="1"/>
  <c r="K2539" i="1"/>
  <c r="BI2539" i="1"/>
  <c r="AG2539" i="1" s="1"/>
  <c r="BI2577" i="1"/>
  <c r="AG2577" i="1" s="1"/>
  <c r="K2577" i="1"/>
  <c r="AX2577" i="1"/>
  <c r="AL2584" i="1"/>
  <c r="M2584" i="1"/>
  <c r="AL2590" i="1"/>
  <c r="M2590" i="1"/>
  <c r="AL2596" i="1"/>
  <c r="M2596" i="1"/>
  <c r="AL2602" i="1"/>
  <c r="M2602" i="1"/>
  <c r="BH2620" i="1"/>
  <c r="AF2620" i="1" s="1"/>
  <c r="J2620" i="1"/>
  <c r="AW2620" i="1"/>
  <c r="AW2631" i="1"/>
  <c r="J2631" i="1"/>
  <c r="BH2631" i="1"/>
  <c r="AF2631" i="1" s="1"/>
  <c r="K2514" i="1"/>
  <c r="BI2514" i="1"/>
  <c r="AE2514" i="1" s="1"/>
  <c r="K2519" i="1"/>
  <c r="BI2519" i="1"/>
  <c r="AE2519" i="1" s="1"/>
  <c r="K2523" i="1"/>
  <c r="BI2523" i="1"/>
  <c r="AE2523" i="1" s="1"/>
  <c r="K2531" i="1"/>
  <c r="BI2531" i="1"/>
  <c r="AL2566" i="1"/>
  <c r="M2566" i="1"/>
  <c r="BI2571" i="1"/>
  <c r="AG2571" i="1" s="1"/>
  <c r="K2571" i="1"/>
  <c r="AX2571" i="1"/>
  <c r="BI2583" i="1"/>
  <c r="AG2583" i="1" s="1"/>
  <c r="K2583" i="1"/>
  <c r="AX2583" i="1"/>
  <c r="BI2589" i="1"/>
  <c r="AG2589" i="1" s="1"/>
  <c r="K2589" i="1"/>
  <c r="AX2589" i="1"/>
  <c r="BI2595" i="1"/>
  <c r="AG2595" i="1" s="1"/>
  <c r="K2595" i="1"/>
  <c r="AX2595" i="1"/>
  <c r="BI2601" i="1"/>
  <c r="AG2601" i="1" s="1"/>
  <c r="K2601" i="1"/>
  <c r="AX2601" i="1"/>
  <c r="AL2563" i="1"/>
  <c r="M2563" i="1"/>
  <c r="AL2564" i="1"/>
  <c r="BI2568" i="1"/>
  <c r="AG2568" i="1" s="1"/>
  <c r="K2568" i="1"/>
  <c r="AX2568" i="1"/>
  <c r="AL2617" i="1"/>
  <c r="M2617" i="1"/>
  <c r="M2514" i="1"/>
  <c r="M2519" i="1"/>
  <c r="M2523" i="1"/>
  <c r="M2531" i="1"/>
  <c r="M2535" i="1"/>
  <c r="M2541" i="1"/>
  <c r="AL2560" i="1"/>
  <c r="M2560" i="1"/>
  <c r="BI2565" i="1"/>
  <c r="AG2565" i="1" s="1"/>
  <c r="K2565" i="1"/>
  <c r="AX2565" i="1"/>
  <c r="AV2588" i="1"/>
  <c r="AL2611" i="1"/>
  <c r="M2611" i="1"/>
  <c r="BC2622" i="1"/>
  <c r="AV2622" i="1"/>
  <c r="BI2538" i="1"/>
  <c r="AG2538" i="1" s="1"/>
  <c r="BH2541" i="1"/>
  <c r="AF2541" i="1" s="1"/>
  <c r="J2541" i="1"/>
  <c r="BI2543" i="1"/>
  <c r="AG2543" i="1" s="1"/>
  <c r="AL2557" i="1"/>
  <c r="M2557" i="1"/>
  <c r="AL2558" i="1"/>
  <c r="BI2562" i="1"/>
  <c r="AG2562" i="1" s="1"/>
  <c r="K2562" i="1"/>
  <c r="AX2562" i="1"/>
  <c r="AL2581" i="1"/>
  <c r="M2581" i="1"/>
  <c r="AL2587" i="1"/>
  <c r="M2587" i="1"/>
  <c r="AL2593" i="1"/>
  <c r="M2593" i="1"/>
  <c r="AL2599" i="1"/>
  <c r="M2599" i="1"/>
  <c r="AL2605" i="1"/>
  <c r="M2605" i="1"/>
  <c r="AV2627" i="1"/>
  <c r="M2542" i="1"/>
  <c r="AL2549" i="1"/>
  <c r="AL2554" i="1"/>
  <c r="M2554" i="1"/>
  <c r="AL2555" i="1"/>
  <c r="BI2559" i="1"/>
  <c r="AG2559" i="1" s="1"/>
  <c r="K2559" i="1"/>
  <c r="AX2559" i="1"/>
  <c r="BI2616" i="1"/>
  <c r="AG2616" i="1" s="1"/>
  <c r="K2616" i="1"/>
  <c r="AX2616" i="1"/>
  <c r="BH2655" i="1"/>
  <c r="AF2655" i="1" s="1"/>
  <c r="J2655" i="1"/>
  <c r="AW2655" i="1"/>
  <c r="M2659" i="1"/>
  <c r="K2538" i="1"/>
  <c r="K2543" i="1"/>
  <c r="AL2551" i="1"/>
  <c r="M2551" i="1"/>
  <c r="AL2552" i="1"/>
  <c r="BI2556" i="1"/>
  <c r="AG2556" i="1" s="1"/>
  <c r="K2556" i="1"/>
  <c r="AX2556" i="1"/>
  <c r="BI2610" i="1"/>
  <c r="AG2610" i="1" s="1"/>
  <c r="K2610" i="1"/>
  <c r="AX2610" i="1"/>
  <c r="BH2643" i="1"/>
  <c r="AF2643" i="1" s="1"/>
  <c r="J2643" i="1"/>
  <c r="AW2643" i="1"/>
  <c r="BH2652" i="1"/>
  <c r="AF2652" i="1" s="1"/>
  <c r="J2652" i="1"/>
  <c r="AW2652" i="1"/>
  <c r="M2502" i="1"/>
  <c r="M2505" i="1"/>
  <c r="M2508" i="1"/>
  <c r="M2511" i="1"/>
  <c r="M2515" i="1"/>
  <c r="M2521" i="1"/>
  <c r="M2525" i="1"/>
  <c r="M2532" i="1"/>
  <c r="AW2541" i="1"/>
  <c r="BI2553" i="1"/>
  <c r="AG2553" i="1" s="1"/>
  <c r="K2553" i="1"/>
  <c r="AX2553" i="1"/>
  <c r="BC2557" i="1"/>
  <c r="BI2569" i="1"/>
  <c r="AG2569" i="1" s="1"/>
  <c r="AV2579" i="1"/>
  <c r="BI2580" i="1"/>
  <c r="AG2580" i="1" s="1"/>
  <c r="K2580" i="1"/>
  <c r="AX2580" i="1"/>
  <c r="BI2586" i="1"/>
  <c r="AG2586" i="1" s="1"/>
  <c r="K2586" i="1"/>
  <c r="AX2586" i="1"/>
  <c r="BI2592" i="1"/>
  <c r="AG2592" i="1" s="1"/>
  <c r="K2592" i="1"/>
  <c r="AX2592" i="1"/>
  <c r="BI2598" i="1"/>
  <c r="AG2598" i="1" s="1"/>
  <c r="K2598" i="1"/>
  <c r="AX2598" i="1"/>
  <c r="BI2604" i="1"/>
  <c r="AG2604" i="1" s="1"/>
  <c r="K2604" i="1"/>
  <c r="AX2604" i="1"/>
  <c r="BC2626" i="1"/>
  <c r="BH2629" i="1"/>
  <c r="AF2629" i="1" s="1"/>
  <c r="AW2629" i="1"/>
  <c r="BI2633" i="1"/>
  <c r="AG2633" i="1" s="1"/>
  <c r="K2633" i="1"/>
  <c r="AX2633" i="1"/>
  <c r="BI2566" i="1"/>
  <c r="AG2566" i="1" s="1"/>
  <c r="AL2578" i="1"/>
  <c r="M2578" i="1"/>
  <c r="AV2578" i="1"/>
  <c r="AL2632" i="1"/>
  <c r="M2632" i="1"/>
  <c r="K2506" i="1"/>
  <c r="K2509" i="1"/>
  <c r="K2513" i="1"/>
  <c r="K2518" i="1"/>
  <c r="K2522" i="1"/>
  <c r="K2526" i="1"/>
  <c r="K2534" i="1"/>
  <c r="M2544" i="1"/>
  <c r="K2545" i="1"/>
  <c r="BI2546" i="1"/>
  <c r="AG2546" i="1" s="1"/>
  <c r="BI2563" i="1"/>
  <c r="AG2563" i="1" s="1"/>
  <c r="AL2575" i="1"/>
  <c r="M2575" i="1"/>
  <c r="AV2597" i="1"/>
  <c r="AL2608" i="1"/>
  <c r="M2608" i="1"/>
  <c r="AL2614" i="1"/>
  <c r="M2614" i="1"/>
  <c r="BH2687" i="1"/>
  <c r="AF2687" i="1" s="1"/>
  <c r="J2687" i="1"/>
  <c r="AW2687" i="1"/>
  <c r="BH2622" i="1"/>
  <c r="AF2622" i="1" s="1"/>
  <c r="BI2624" i="1"/>
  <c r="AG2624" i="1" s="1"/>
  <c r="K2624" i="1"/>
  <c r="AL2629" i="1"/>
  <c r="M2629" i="1"/>
  <c r="BH2646" i="1"/>
  <c r="AF2646" i="1" s="1"/>
  <c r="J2646" i="1"/>
  <c r="AW2646" i="1"/>
  <c r="BH2649" i="1"/>
  <c r="AF2649" i="1" s="1"/>
  <c r="J2649" i="1"/>
  <c r="AW2649" i="1"/>
  <c r="J2667" i="1"/>
  <c r="BH2667" i="1"/>
  <c r="AF2667" i="1" s="1"/>
  <c r="AW2667" i="1"/>
  <c r="BH2670" i="1"/>
  <c r="AF2670" i="1" s="1"/>
  <c r="AW2670" i="1"/>
  <c r="J2670" i="1"/>
  <c r="AL2702" i="1"/>
  <c r="M2702" i="1"/>
  <c r="L2768" i="1"/>
  <c r="F80" i="2" s="1"/>
  <c r="I80" i="2" s="1"/>
  <c r="M2769" i="1"/>
  <c r="M2768" i="1" s="1"/>
  <c r="AL2769" i="1"/>
  <c r="AU2768" i="1" s="1"/>
  <c r="BH2626" i="1"/>
  <c r="AF2626" i="1" s="1"/>
  <c r="BH2637" i="1"/>
  <c r="AF2637" i="1" s="1"/>
  <c r="J2637" i="1"/>
  <c r="AW2637" i="1"/>
  <c r="BI2667" i="1"/>
  <c r="AG2667" i="1" s="1"/>
  <c r="K2667" i="1"/>
  <c r="AX2667" i="1"/>
  <c r="BH2678" i="1"/>
  <c r="AF2678" i="1" s="1"/>
  <c r="J2678" i="1"/>
  <c r="AW2678" i="1"/>
  <c r="BI2630" i="1"/>
  <c r="AG2630" i="1" s="1"/>
  <c r="K2630" i="1"/>
  <c r="AX2658" i="1"/>
  <c r="K2658" i="1"/>
  <c r="BI2658" i="1"/>
  <c r="AG2658" i="1" s="1"/>
  <c r="BC2663" i="1"/>
  <c r="AW2712" i="1"/>
  <c r="J2712" i="1"/>
  <c r="BH2712" i="1"/>
  <c r="AF2712" i="1" s="1"/>
  <c r="AW2744" i="1"/>
  <c r="J2744" i="1"/>
  <c r="BH2744" i="1"/>
  <c r="AB2744" i="1" s="1"/>
  <c r="AV2587" i="1"/>
  <c r="AV2590" i="1"/>
  <c r="BI2621" i="1"/>
  <c r="AG2621" i="1" s="1"/>
  <c r="K2621" i="1"/>
  <c r="BI2642" i="1"/>
  <c r="AG2642" i="1" s="1"/>
  <c r="K2642" i="1"/>
  <c r="BI2683" i="1"/>
  <c r="AG2683" i="1" s="1"/>
  <c r="K2683" i="1"/>
  <c r="AX2683" i="1"/>
  <c r="AX2630" i="1"/>
  <c r="BI2662" i="1"/>
  <c r="AG2662" i="1" s="1"/>
  <c r="K2662" i="1"/>
  <c r="AX2662" i="1"/>
  <c r="AV2662" i="1" s="1"/>
  <c r="AL2712" i="1"/>
  <c r="M2712" i="1"/>
  <c r="J2544" i="1"/>
  <c r="J2547" i="1"/>
  <c r="J2550" i="1"/>
  <c r="J2553" i="1"/>
  <c r="J2556" i="1"/>
  <c r="J2559" i="1"/>
  <c r="J2562" i="1"/>
  <c r="J2565" i="1"/>
  <c r="J2568" i="1"/>
  <c r="J2571" i="1"/>
  <c r="AW2625" i="1"/>
  <c r="BI2636" i="1"/>
  <c r="AG2636" i="1" s="1"/>
  <c r="K2636" i="1"/>
  <c r="AX2642" i="1"/>
  <c r="BI2645" i="1"/>
  <c r="AG2645" i="1" s="1"/>
  <c r="K2645" i="1"/>
  <c r="BH2669" i="1"/>
  <c r="AF2669" i="1" s="1"/>
  <c r="J2669" i="1"/>
  <c r="AW2669" i="1"/>
  <c r="AL2672" i="1"/>
  <c r="M2672" i="1"/>
  <c r="AW2691" i="1"/>
  <c r="BH2691" i="1"/>
  <c r="AF2691" i="1" s="1"/>
  <c r="J2691" i="1"/>
  <c r="O2794" i="1"/>
  <c r="G82" i="2" s="1"/>
  <c r="BF2795" i="1"/>
  <c r="AX2621" i="1"/>
  <c r="BC2621" i="1" s="1"/>
  <c r="AL2635" i="1"/>
  <c r="M2635" i="1"/>
  <c r="BH2640" i="1"/>
  <c r="AF2640" i="1" s="1"/>
  <c r="J2640" i="1"/>
  <c r="AW2640" i="1"/>
  <c r="M2669" i="1"/>
  <c r="BI2698" i="1"/>
  <c r="AG2698" i="1" s="1"/>
  <c r="K2698" i="1"/>
  <c r="AX2698" i="1"/>
  <c r="BI2628" i="1"/>
  <c r="AG2628" i="1" s="1"/>
  <c r="BH2634" i="1"/>
  <c r="AF2634" i="1" s="1"/>
  <c r="J2634" i="1"/>
  <c r="AW2634" i="1"/>
  <c r="AX2636" i="1"/>
  <c r="BC2636" i="1" s="1"/>
  <c r="AX2645" i="1"/>
  <c r="AV2666" i="1"/>
  <c r="AL2705" i="1"/>
  <c r="M2790" i="1"/>
  <c r="AL2790" i="1"/>
  <c r="J2575" i="1"/>
  <c r="J2578" i="1"/>
  <c r="J2581" i="1"/>
  <c r="J2584" i="1"/>
  <c r="J2587" i="1"/>
  <c r="J2590" i="1"/>
  <c r="J2593" i="1"/>
  <c r="J2596" i="1"/>
  <c r="J2599" i="1"/>
  <c r="J2602" i="1"/>
  <c r="J2605" i="1"/>
  <c r="J2608" i="1"/>
  <c r="J2611" i="1"/>
  <c r="J2614" i="1"/>
  <c r="J2617" i="1"/>
  <c r="AX2618" i="1"/>
  <c r="BI2627" i="1"/>
  <c r="AG2627" i="1" s="1"/>
  <c r="K2627" i="1"/>
  <c r="BC2664" i="1"/>
  <c r="AV2664" i="1"/>
  <c r="K2659" i="1"/>
  <c r="BI2659" i="1"/>
  <c r="AG2659" i="1" s="1"/>
  <c r="K2663" i="1"/>
  <c r="M2667" i="1"/>
  <c r="BH2672" i="1"/>
  <c r="AF2672" i="1" s="1"/>
  <c r="J2672" i="1"/>
  <c r="BC2674" i="1"/>
  <c r="BI2695" i="1"/>
  <c r="AG2695" i="1" s="1"/>
  <c r="K2695" i="1"/>
  <c r="AX2695" i="1"/>
  <c r="AV2695" i="1" s="1"/>
  <c r="BI2707" i="1"/>
  <c r="AG2707" i="1" s="1"/>
  <c r="K2707" i="1"/>
  <c r="AX2707" i="1"/>
  <c r="AV2707" i="1" s="1"/>
  <c r="M2820" i="1"/>
  <c r="AL2820" i="1"/>
  <c r="BH2663" i="1"/>
  <c r="AF2663" i="1" s="1"/>
  <c r="J2663" i="1"/>
  <c r="BI2668" i="1"/>
  <c r="AG2668" i="1" s="1"/>
  <c r="K2668" i="1"/>
  <c r="BI2671" i="1"/>
  <c r="AG2671" i="1" s="1"/>
  <c r="K2671" i="1"/>
  <c r="AL2678" i="1"/>
  <c r="M2678" i="1"/>
  <c r="BH2679" i="1"/>
  <c r="AF2679" i="1" s="1"/>
  <c r="AL2687" i="1"/>
  <c r="M2687" i="1"/>
  <c r="BH2688" i="1"/>
  <c r="AF2688" i="1" s="1"/>
  <c r="AW2694" i="1"/>
  <c r="BH2694" i="1"/>
  <c r="AF2694" i="1" s="1"/>
  <c r="J2694" i="1"/>
  <c r="AW2736" i="1"/>
  <c r="BH2736" i="1"/>
  <c r="AB2736" i="1" s="1"/>
  <c r="BH2673" i="1"/>
  <c r="AF2673" i="1" s="1"/>
  <c r="J2676" i="1"/>
  <c r="BI2701" i="1"/>
  <c r="AG2701" i="1" s="1"/>
  <c r="K2701" i="1"/>
  <c r="AX2701" i="1"/>
  <c r="AV2701" i="1" s="1"/>
  <c r="AW2709" i="1"/>
  <c r="J2709" i="1"/>
  <c r="BH2709" i="1"/>
  <c r="AF2709" i="1" s="1"/>
  <c r="J2736" i="1"/>
  <c r="AX2761" i="1"/>
  <c r="K2761" i="1"/>
  <c r="AX2783" i="1"/>
  <c r="K2783" i="1"/>
  <c r="M2638" i="1"/>
  <c r="M2641" i="1"/>
  <c r="M2644" i="1"/>
  <c r="M2647" i="1"/>
  <c r="M2650" i="1"/>
  <c r="M2653" i="1"/>
  <c r="M2656" i="1"/>
  <c r="BI2657" i="1"/>
  <c r="AG2657" i="1" s="1"/>
  <c r="M2660" i="1"/>
  <c r="BI2661" i="1"/>
  <c r="AG2661" i="1" s="1"/>
  <c r="AV2663" i="1"/>
  <c r="M2664" i="1"/>
  <c r="BI2665" i="1"/>
  <c r="AG2665" i="1" s="1"/>
  <c r="BI2677" i="1"/>
  <c r="AG2677" i="1" s="1"/>
  <c r="K2677" i="1"/>
  <c r="BH2681" i="1"/>
  <c r="AF2681" i="1" s="1"/>
  <c r="J2681" i="1"/>
  <c r="BI2686" i="1"/>
  <c r="AG2686" i="1" s="1"/>
  <c r="K2686" i="1"/>
  <c r="BH2690" i="1"/>
  <c r="AF2690" i="1" s="1"/>
  <c r="J2690" i="1"/>
  <c r="AW2697" i="1"/>
  <c r="BH2697" i="1"/>
  <c r="AF2697" i="1" s="1"/>
  <c r="J2697" i="1"/>
  <c r="BI2704" i="1"/>
  <c r="AG2704" i="1" s="1"/>
  <c r="K2704" i="1"/>
  <c r="AX2704" i="1"/>
  <c r="AV2704" i="1" s="1"/>
  <c r="AL2709" i="1"/>
  <c r="M2709" i="1"/>
  <c r="L2735" i="1"/>
  <c r="F71" i="2" s="1"/>
  <c r="I71" i="2" s="1"/>
  <c r="AS2755" i="1"/>
  <c r="BC2836" i="1"/>
  <c r="AV2836" i="1"/>
  <c r="AX2841" i="1"/>
  <c r="K2841" i="1"/>
  <c r="BI2841" i="1"/>
  <c r="J2633" i="1"/>
  <c r="J2636" i="1"/>
  <c r="J2639" i="1"/>
  <c r="J2642" i="1"/>
  <c r="J2645" i="1"/>
  <c r="J2648" i="1"/>
  <c r="J2651" i="1"/>
  <c r="J2654" i="1"/>
  <c r="BH2660" i="1"/>
  <c r="AF2660" i="1" s="1"/>
  <c r="J2660" i="1"/>
  <c r="K2661" i="1"/>
  <c r="O2719" i="1"/>
  <c r="G68" i="2" s="1"/>
  <c r="AX2797" i="1"/>
  <c r="K2797" i="1"/>
  <c r="K2648" i="1"/>
  <c r="K2651" i="1"/>
  <c r="K2654" i="1"/>
  <c r="BH2675" i="1"/>
  <c r="AF2675" i="1" s="1"/>
  <c r="J2675" i="1"/>
  <c r="BC2677" i="1"/>
  <c r="AL2681" i="1"/>
  <c r="M2681" i="1"/>
  <c r="AW2681" i="1"/>
  <c r="BH2682" i="1"/>
  <c r="AF2682" i="1" s="1"/>
  <c r="AL2690" i="1"/>
  <c r="M2690" i="1"/>
  <c r="AW2690" i="1"/>
  <c r="AW2700" i="1"/>
  <c r="BH2700" i="1"/>
  <c r="AF2700" i="1" s="1"/>
  <c r="J2700" i="1"/>
  <c r="AL2729" i="1"/>
  <c r="M2729" i="1"/>
  <c r="O2752" i="1"/>
  <c r="G74" i="2" s="1"/>
  <c r="AL2675" i="1"/>
  <c r="M2675" i="1"/>
  <c r="AL2693" i="1"/>
  <c r="M2693" i="1"/>
  <c r="AW2703" i="1"/>
  <c r="BH2703" i="1"/>
  <c r="AF2703" i="1" s="1"/>
  <c r="J2703" i="1"/>
  <c r="AW2708" i="1"/>
  <c r="J2708" i="1"/>
  <c r="BC2716" i="1"/>
  <c r="AW2740" i="1"/>
  <c r="J2740" i="1"/>
  <c r="BH2777" i="1"/>
  <c r="AB2777" i="1" s="1"/>
  <c r="J2777" i="1"/>
  <c r="AW2777" i="1"/>
  <c r="M2648" i="1"/>
  <c r="M2651" i="1"/>
  <c r="M2654" i="1"/>
  <c r="BH2657" i="1"/>
  <c r="AF2657" i="1" s="1"/>
  <c r="J2657" i="1"/>
  <c r="AW2660" i="1"/>
  <c r="AW2675" i="1"/>
  <c r="J2679" i="1"/>
  <c r="BI2680" i="1"/>
  <c r="AG2680" i="1" s="1"/>
  <c r="K2680" i="1"/>
  <c r="BH2684" i="1"/>
  <c r="AF2684" i="1" s="1"/>
  <c r="J2684" i="1"/>
  <c r="J2688" i="1"/>
  <c r="BI2689" i="1"/>
  <c r="AG2689" i="1" s="1"/>
  <c r="K2689" i="1"/>
  <c r="AL2696" i="1"/>
  <c r="M2696" i="1"/>
  <c r="J2716" i="1"/>
  <c r="AL2720" i="1"/>
  <c r="M2720" i="1"/>
  <c r="AL2727" i="1"/>
  <c r="BI2740" i="1"/>
  <c r="AC2740" i="1" s="1"/>
  <c r="K2740" i="1"/>
  <c r="AX2740" i="1"/>
  <c r="AW2753" i="1"/>
  <c r="J2753" i="1"/>
  <c r="J2752" i="1" s="1"/>
  <c r="D74" i="2" s="1"/>
  <c r="BH2753" i="1"/>
  <c r="BC2759" i="1"/>
  <c r="BI2761" i="1"/>
  <c r="AX2777" i="1"/>
  <c r="K2777" i="1"/>
  <c r="BI2783" i="1"/>
  <c r="AC2783" i="1" s="1"/>
  <c r="AL2824" i="1"/>
  <c r="M2824" i="1"/>
  <c r="BI2674" i="1"/>
  <c r="AG2674" i="1" s="1"/>
  <c r="K2674" i="1"/>
  <c r="AL2716" i="1"/>
  <c r="M2716" i="1"/>
  <c r="AL2740" i="1"/>
  <c r="M2740" i="1"/>
  <c r="BH2795" i="1"/>
  <c r="AB2795" i="1" s="1"/>
  <c r="J2795" i="1"/>
  <c r="J2794" i="1" s="1"/>
  <c r="D82" i="2" s="1"/>
  <c r="AW2795" i="1"/>
  <c r="BH2666" i="1"/>
  <c r="AF2666" i="1" s="1"/>
  <c r="J2666" i="1"/>
  <c r="AL2684" i="1"/>
  <c r="M2684" i="1"/>
  <c r="BI2692" i="1"/>
  <c r="AG2692" i="1" s="1"/>
  <c r="K2692" i="1"/>
  <c r="AX2692" i="1"/>
  <c r="AV2692" i="1" s="1"/>
  <c r="AL2699" i="1"/>
  <c r="M2699" i="1"/>
  <c r="BF2740" i="1"/>
  <c r="O2735" i="1"/>
  <c r="G71" i="2" s="1"/>
  <c r="L2749" i="1"/>
  <c r="F73" i="2" s="1"/>
  <c r="I73" i="2" s="1"/>
  <c r="M2750" i="1"/>
  <c r="M2749" i="1" s="1"/>
  <c r="O2776" i="1"/>
  <c r="G81" i="2" s="1"/>
  <c r="BF2777" i="1"/>
  <c r="AX2795" i="1"/>
  <c r="K2795" i="1"/>
  <c r="AX2670" i="1"/>
  <c r="AX2673" i="1"/>
  <c r="AX2676" i="1"/>
  <c r="AX2679" i="1"/>
  <c r="BC2679" i="1" s="1"/>
  <c r="AX2682" i="1"/>
  <c r="AV2682" i="1" s="1"/>
  <c r="AX2685" i="1"/>
  <c r="BC2685" i="1" s="1"/>
  <c r="AX2688" i="1"/>
  <c r="BC2688" i="1" s="1"/>
  <c r="AX2691" i="1"/>
  <c r="J2693" i="1"/>
  <c r="AX2694" i="1"/>
  <c r="J2696" i="1"/>
  <c r="AX2697" i="1"/>
  <c r="J2699" i="1"/>
  <c r="AX2700" i="1"/>
  <c r="J2702" i="1"/>
  <c r="AX2703" i="1"/>
  <c r="BI2723" i="1"/>
  <c r="AC2723" i="1" s="1"/>
  <c r="K2723" i="1"/>
  <c r="O2725" i="1"/>
  <c r="G69" i="2" s="1"/>
  <c r="J2727" i="1"/>
  <c r="O2730" i="1"/>
  <c r="G70" i="2" s="1"/>
  <c r="J2750" i="1"/>
  <c r="J2749" i="1" s="1"/>
  <c r="D73" i="2" s="1"/>
  <c r="BC2769" i="1"/>
  <c r="L2776" i="1"/>
  <c r="F81" i="2" s="1"/>
  <c r="I81" i="2" s="1"/>
  <c r="AL2777" i="1"/>
  <c r="BC2829" i="1"/>
  <c r="O2831" i="1"/>
  <c r="BI2840" i="1"/>
  <c r="K2840" i="1"/>
  <c r="AL2715" i="1"/>
  <c r="M2715" i="1"/>
  <c r="AL2726" i="1"/>
  <c r="M2726" i="1"/>
  <c r="BC2727" i="1"/>
  <c r="BC2750" i="1"/>
  <c r="K2765" i="1"/>
  <c r="K2764" i="1" s="1"/>
  <c r="E79" i="2" s="1"/>
  <c r="BI2769" i="1"/>
  <c r="AC2769" i="1" s="1"/>
  <c r="BH2790" i="1"/>
  <c r="AB2790" i="1" s="1"/>
  <c r="J2790" i="1"/>
  <c r="BH2820" i="1"/>
  <c r="J2820" i="1"/>
  <c r="AL2706" i="1"/>
  <c r="M2706" i="1"/>
  <c r="AL2714" i="1"/>
  <c r="BI2726" i="1"/>
  <c r="AC2726" i="1" s="1"/>
  <c r="K2726" i="1"/>
  <c r="BH2746" i="1"/>
  <c r="AB2746" i="1" s="1"/>
  <c r="BH2759" i="1"/>
  <c r="AD2759" i="1" s="1"/>
  <c r="J2759" i="1"/>
  <c r="AL2765" i="1"/>
  <c r="AU2764" i="1" s="1"/>
  <c r="BI2820" i="1"/>
  <c r="K2820" i="1"/>
  <c r="AX2820" i="1"/>
  <c r="BC2820" i="1" s="1"/>
  <c r="BH2824" i="1"/>
  <c r="J2824" i="1"/>
  <c r="AL2832" i="1"/>
  <c r="AU2831" i="1" s="1"/>
  <c r="M2832" i="1"/>
  <c r="M2831" i="1" s="1"/>
  <c r="BC2832" i="1"/>
  <c r="BH2838" i="1"/>
  <c r="J2838" i="1"/>
  <c r="J2837" i="1" s="1"/>
  <c r="D90" i="2" s="1"/>
  <c r="BH2840" i="1"/>
  <c r="AL2843" i="1"/>
  <c r="AU2842" i="1" s="1"/>
  <c r="M2843" i="1"/>
  <c r="M2842" i="1" s="1"/>
  <c r="K2670" i="1"/>
  <c r="K2673" i="1"/>
  <c r="K2676" i="1"/>
  <c r="K2679" i="1"/>
  <c r="K2682" i="1"/>
  <c r="K2685" i="1"/>
  <c r="K2688" i="1"/>
  <c r="K2691" i="1"/>
  <c r="K2694" i="1"/>
  <c r="K2697" i="1"/>
  <c r="K2700" i="1"/>
  <c r="K2703" i="1"/>
  <c r="BC2714" i="1"/>
  <c r="BH2723" i="1"/>
  <c r="AB2723" i="1" s="1"/>
  <c r="AL2731" i="1"/>
  <c r="AU2730" i="1" s="1"/>
  <c r="M2731" i="1"/>
  <c r="M2730" i="1" s="1"/>
  <c r="M2761" i="1"/>
  <c r="AL2761" i="1"/>
  <c r="AU2755" i="1" s="1"/>
  <c r="M2765" i="1"/>
  <c r="M2764" i="1" s="1"/>
  <c r="BH2765" i="1"/>
  <c r="AB2765" i="1" s="1"/>
  <c r="J2765" i="1"/>
  <c r="J2764" i="1" s="1"/>
  <c r="D79" i="2" s="1"/>
  <c r="BI2824" i="1"/>
  <c r="K2824" i="1"/>
  <c r="AX2824" i="1"/>
  <c r="BC2824" i="1" s="1"/>
  <c r="AL2713" i="1"/>
  <c r="M2713" i="1"/>
  <c r="BI2714" i="1"/>
  <c r="AG2714" i="1" s="1"/>
  <c r="K2714" i="1"/>
  <c r="AL2795" i="1"/>
  <c r="AU2794" i="1" s="1"/>
  <c r="AV2838" i="1"/>
  <c r="AL2848" i="1"/>
  <c r="AU2847" i="1" s="1"/>
  <c r="BH2848" i="1"/>
  <c r="AD2848" i="1" s="1"/>
  <c r="J2848" i="1"/>
  <c r="J2847" i="1" s="1"/>
  <c r="BI2848" i="1"/>
  <c r="AE2848" i="1" s="1"/>
  <c r="K2848" i="1"/>
  <c r="K2847" i="1" s="1"/>
  <c r="AX2848" i="1"/>
  <c r="BC2711" i="1"/>
  <c r="AL2736" i="1"/>
  <c r="M2736" i="1"/>
  <c r="O2755" i="1"/>
  <c r="BH2769" i="1"/>
  <c r="AB2769" i="1" s="1"/>
  <c r="J2769" i="1"/>
  <c r="J2768" i="1" s="1"/>
  <c r="D80" i="2" s="1"/>
  <c r="BI2790" i="1"/>
  <c r="AC2790" i="1" s="1"/>
  <c r="BI2821" i="1"/>
  <c r="AL2829" i="1"/>
  <c r="AU2828" i="1" s="1"/>
  <c r="M2829" i="1"/>
  <c r="AW2848" i="1"/>
  <c r="BI2852" i="1"/>
  <c r="AG2852" i="1" s="1"/>
  <c r="K2852" i="1"/>
  <c r="K2850" i="1" s="1"/>
  <c r="M2710" i="1"/>
  <c r="BI2711" i="1"/>
  <c r="AG2711" i="1" s="1"/>
  <c r="K2711" i="1"/>
  <c r="BH2714" i="1"/>
  <c r="AF2714" i="1" s="1"/>
  <c r="L2725" i="1"/>
  <c r="O2749" i="1"/>
  <c r="G73" i="2" s="1"/>
  <c r="BF2765" i="1"/>
  <c r="BI2829" i="1"/>
  <c r="K2829" i="1"/>
  <c r="AL2836" i="1"/>
  <c r="AU2834" i="1" s="1"/>
  <c r="M2836" i="1"/>
  <c r="M2834" i="1" s="1"/>
  <c r="L2834" i="1"/>
  <c r="AL2723" i="1"/>
  <c r="M2723" i="1"/>
  <c r="BC2746" i="1"/>
  <c r="AT2776" i="1"/>
  <c r="AS2811" i="1"/>
  <c r="BI2836" i="1"/>
  <c r="K2836" i="1"/>
  <c r="BI2838" i="1"/>
  <c r="BC2840" i="1"/>
  <c r="L2842" i="1"/>
  <c r="F92" i="2" s="1"/>
  <c r="I92" i="2" s="1"/>
  <c r="BH2843" i="1"/>
  <c r="L2850" i="1"/>
  <c r="AL2851" i="1"/>
  <c r="AU2850" i="1" s="1"/>
  <c r="M2851" i="1"/>
  <c r="K2720" i="1"/>
  <c r="K2729" i="1"/>
  <c r="K2731" i="1"/>
  <c r="K2730" i="1" s="1"/>
  <c r="E70" i="2" s="1"/>
  <c r="K2736" i="1"/>
  <c r="J2756" i="1"/>
  <c r="K2843" i="1"/>
  <c r="K2842" i="1" s="1"/>
  <c r="E92" i="2" s="1"/>
  <c r="J2845" i="1"/>
  <c r="J2844" i="1" s="1"/>
  <c r="D93" i="2" s="1"/>
  <c r="K2710" i="1"/>
  <c r="K2713" i="1"/>
  <c r="K2716" i="1"/>
  <c r="J2786" i="1"/>
  <c r="J2816" i="1"/>
  <c r="J2823" i="1"/>
  <c r="BF2836" i="1"/>
  <c r="M2852" i="1"/>
  <c r="BC1395" i="1" l="1"/>
  <c r="BC1920" i="1"/>
  <c r="AV1920" i="1"/>
  <c r="BC76" i="1"/>
  <c r="BC2801" i="1"/>
  <c r="BC2516" i="1"/>
  <c r="AV2516" i="1"/>
  <c r="BC515" i="1"/>
  <c r="BC1699" i="1"/>
  <c r="AV1750" i="1"/>
  <c r="BC1137" i="1"/>
  <c r="BC1997" i="1"/>
  <c r="AV1997" i="1"/>
  <c r="BC1805" i="1"/>
  <c r="AV1452" i="1"/>
  <c r="BC2705" i="1"/>
  <c r="J998" i="1"/>
  <c r="BC2693" i="1"/>
  <c r="M998" i="1"/>
  <c r="K998" i="1"/>
  <c r="BC2529" i="1"/>
  <c r="AV2529" i="1"/>
  <c r="AV1395" i="1"/>
  <c r="AV665" i="1"/>
  <c r="BC1909" i="1"/>
  <c r="AV2561" i="1"/>
  <c r="AV205" i="1"/>
  <c r="BC202" i="1"/>
  <c r="BC2647" i="1"/>
  <c r="BC1264" i="1"/>
  <c r="AV2100" i="1"/>
  <c r="BC1058" i="1"/>
  <c r="BC1634" i="1"/>
  <c r="K2834" i="1"/>
  <c r="E89" i="2" s="1"/>
  <c r="AV2693" i="1"/>
  <c r="AV2723" i="1"/>
  <c r="AV2365" i="1"/>
  <c r="K120" i="1"/>
  <c r="E17" i="2" s="1"/>
  <c r="AV1584" i="1"/>
  <c r="AV1872" i="1"/>
  <c r="BC2835" i="1"/>
  <c r="AV2572" i="1"/>
  <c r="BC2852" i="1"/>
  <c r="BC2726" i="1"/>
  <c r="AV2705" i="1"/>
  <c r="BC1072" i="1"/>
  <c r="BC2671" i="1"/>
  <c r="AV2564" i="1"/>
  <c r="BC2569" i="1"/>
  <c r="AV1171" i="1"/>
  <c r="BC2093" i="1"/>
  <c r="BC1629" i="1"/>
  <c r="BC1103" i="1"/>
  <c r="AV1103" i="1"/>
  <c r="BC1845" i="1"/>
  <c r="BC1529" i="1"/>
  <c r="BC2573" i="1"/>
  <c r="AV2311" i="1"/>
  <c r="AV1878" i="1"/>
  <c r="J2230" i="1"/>
  <c r="D60" i="2" s="1"/>
  <c r="BC1473" i="1"/>
  <c r="AV1826" i="1"/>
  <c r="K111" i="1"/>
  <c r="E16" i="2" s="1"/>
  <c r="BC2356" i="1"/>
  <c r="BC2290" i="1"/>
  <c r="AV2812" i="1"/>
  <c r="AV2369" i="1"/>
  <c r="BC2623" i="1"/>
  <c r="AV1092" i="1"/>
  <c r="AV1896" i="1"/>
  <c r="AV2698" i="1"/>
  <c r="AV1932" i="1"/>
  <c r="AV1841" i="1"/>
  <c r="BC1725" i="1"/>
  <c r="AV1615" i="1"/>
  <c r="BC1719" i="1"/>
  <c r="AU684" i="1"/>
  <c r="AV2228" i="1"/>
  <c r="AV2467" i="1"/>
  <c r="AV1888" i="1"/>
  <c r="AV1842" i="1"/>
  <c r="AV1661" i="1"/>
  <c r="BC2673" i="1"/>
  <c r="BC2560" i="1"/>
  <c r="AV2799" i="1"/>
  <c r="BC1074" i="1"/>
  <c r="AV1048" i="1"/>
  <c r="BC1007" i="1"/>
  <c r="BC1988" i="1"/>
  <c r="AV999" i="1"/>
  <c r="AV2641" i="1"/>
  <c r="AV1672" i="1"/>
  <c r="M1105" i="1"/>
  <c r="AU1170" i="1"/>
  <c r="AV192" i="1"/>
  <c r="BC1571" i="1"/>
  <c r="AV1895" i="1"/>
  <c r="AV1644" i="1"/>
  <c r="BC1497" i="1"/>
  <c r="BC1048" i="1"/>
  <c r="BC1716" i="1"/>
  <c r="BC274" i="1"/>
  <c r="BC1663" i="1"/>
  <c r="AV1007" i="1"/>
  <c r="BC2378" i="1"/>
  <c r="BC1752" i="1"/>
  <c r="J2850" i="1"/>
  <c r="J2849" i="1" s="1"/>
  <c r="D96" i="2" s="1"/>
  <c r="BC1049" i="1"/>
  <c r="AV1049" i="1"/>
  <c r="BC1062" i="1"/>
  <c r="AV1062" i="1"/>
  <c r="BC1099" i="1"/>
  <c r="AV1099" i="1"/>
  <c r="BC1022" i="1"/>
  <c r="AV1022" i="1"/>
  <c r="AV2617" i="1"/>
  <c r="BC1569" i="1"/>
  <c r="AV1850" i="1"/>
  <c r="AV1938" i="1"/>
  <c r="AV2605" i="1"/>
  <c r="AV2602" i="1"/>
  <c r="AV1563" i="1"/>
  <c r="BC1863" i="1"/>
  <c r="BC2390" i="1"/>
  <c r="J1161" i="1"/>
  <c r="D32" i="2" s="1"/>
  <c r="BC2416" i="1"/>
  <c r="AV1898" i="1"/>
  <c r="AV1713" i="1"/>
  <c r="AV1699" i="1"/>
  <c r="BC528" i="1"/>
  <c r="BC1376" i="1"/>
  <c r="AV2420" i="1"/>
  <c r="BC2237" i="1"/>
  <c r="AV1663" i="1"/>
  <c r="AV1709" i="1"/>
  <c r="AV1853" i="1"/>
  <c r="AV2683" i="1"/>
  <c r="AV2584" i="1"/>
  <c r="AV1905" i="1"/>
  <c r="BC2445" i="1"/>
  <c r="BC1174" i="1"/>
  <c r="BC247" i="1"/>
  <c r="AV1890" i="1"/>
  <c r="AV1586" i="1"/>
  <c r="AV548" i="1"/>
  <c r="AV1979" i="1"/>
  <c r="BC1239" i="1"/>
  <c r="BC1892" i="1"/>
  <c r="AV896" i="1"/>
  <c r="AV2582" i="1"/>
  <c r="BC1737" i="1"/>
  <c r="BC678" i="1"/>
  <c r="BC2054" i="1"/>
  <c r="BC1430" i="1"/>
  <c r="BC1636" i="1"/>
  <c r="BC2797" i="1"/>
  <c r="AV2570" i="1"/>
  <c r="AV1859" i="1"/>
  <c r="BC2001" i="1"/>
  <c r="AV2521" i="1"/>
  <c r="BC1608" i="1"/>
  <c r="BC2362" i="1"/>
  <c r="AV1743" i="1"/>
  <c r="M1772" i="1"/>
  <c r="AV1560" i="1"/>
  <c r="AV2399" i="1"/>
  <c r="AV2654" i="1"/>
  <c r="AV2390" i="1"/>
  <c r="BC2259" i="1"/>
  <c r="BC2483" i="1"/>
  <c r="AV2525" i="1"/>
  <c r="AV2029" i="1"/>
  <c r="BC1757" i="1"/>
  <c r="AV1610" i="1"/>
  <c r="AV1589" i="1"/>
  <c r="AV1264" i="1"/>
  <c r="BC2783" i="1"/>
  <c r="AV2264" i="1"/>
  <c r="J1772" i="1"/>
  <c r="D51" i="2" s="1"/>
  <c r="AV1745" i="1"/>
  <c r="AV1808" i="1"/>
  <c r="BC2238" i="1"/>
  <c r="AV1593" i="1"/>
  <c r="BC2493" i="1"/>
  <c r="BC2676" i="1"/>
  <c r="BC2567" i="1"/>
  <c r="AV1893" i="1"/>
  <c r="BC1228" i="1"/>
  <c r="BC336" i="1"/>
  <c r="AV1988" i="1"/>
  <c r="BC128" i="1"/>
  <c r="AV1430" i="1"/>
  <c r="AV2581" i="1"/>
  <c r="AV2554" i="1"/>
  <c r="AV2659" i="1"/>
  <c r="AV1763" i="1"/>
  <c r="BC1577" i="1"/>
  <c r="AV2657" i="1"/>
  <c r="AV2606" i="1"/>
  <c r="BC1799" i="1"/>
  <c r="BC1554" i="1"/>
  <c r="BC2699" i="1"/>
  <c r="AV2594" i="1"/>
  <c r="AU2103" i="1"/>
  <c r="BC1505" i="1"/>
  <c r="AV1505" i="1"/>
  <c r="BC1455" i="1"/>
  <c r="AV1455" i="1"/>
  <c r="BC1439" i="1"/>
  <c r="AV1439" i="1"/>
  <c r="BC1488" i="1"/>
  <c r="AV1488" i="1"/>
  <c r="BC1415" i="1"/>
  <c r="AV1415" i="1"/>
  <c r="BC1552" i="1"/>
  <c r="AV1552" i="1"/>
  <c r="BC1388" i="1"/>
  <c r="AV1388" i="1"/>
  <c r="AV2609" i="1"/>
  <c r="AV2292" i="1"/>
  <c r="BC2420" i="1"/>
  <c r="AV2710" i="1"/>
  <c r="AV2614" i="1"/>
  <c r="AV2539" i="1"/>
  <c r="BC2371" i="1"/>
  <c r="AV542" i="1"/>
  <c r="J677" i="1"/>
  <c r="D25" i="2" s="1"/>
  <c r="AV1805" i="1"/>
  <c r="AV1176" i="1"/>
  <c r="BC2654" i="1"/>
  <c r="BC278" i="1"/>
  <c r="BC2411" i="1"/>
  <c r="BC2630" i="1"/>
  <c r="BC520" i="1"/>
  <c r="BC151" i="1"/>
  <c r="BC1282" i="1"/>
  <c r="BC2665" i="1"/>
  <c r="M2230" i="1"/>
  <c r="J2103" i="1"/>
  <c r="D57" i="2" s="1"/>
  <c r="BC1847" i="1"/>
  <c r="BC1838" i="1"/>
  <c r="BC1728" i="1"/>
  <c r="AV2668" i="1"/>
  <c r="AV2552" i="1"/>
  <c r="AV2506" i="1"/>
  <c r="BC2409" i="1"/>
  <c r="AV2823" i="1"/>
  <c r="AV1860" i="1"/>
  <c r="J2150" i="1"/>
  <c r="D58" i="2" s="1"/>
  <c r="BC2684" i="1"/>
  <c r="BC2508" i="1"/>
  <c r="AV2223" i="1"/>
  <c r="AV860" i="1"/>
  <c r="BC2830" i="1"/>
  <c r="BC2146" i="1"/>
  <c r="AV2104" i="1"/>
  <c r="AV1688" i="1"/>
  <c r="BC2467" i="1"/>
  <c r="BC2292" i="1"/>
  <c r="AV2032" i="1"/>
  <c r="BC526" i="1"/>
  <c r="AV1608" i="1"/>
  <c r="BC2319" i="1"/>
  <c r="AV2451" i="1"/>
  <c r="BC1906" i="1"/>
  <c r="BC1914" i="1"/>
  <c r="AV1585" i="1"/>
  <c r="BC2826" i="1"/>
  <c r="AV1833" i="1"/>
  <c r="AV1239" i="1"/>
  <c r="BC2104" i="1"/>
  <c r="BC2608" i="1"/>
  <c r="BC2821" i="1"/>
  <c r="AV2841" i="1"/>
  <c r="AV2558" i="1"/>
  <c r="AV2411" i="1"/>
  <c r="BC1660" i="1"/>
  <c r="BC860" i="1"/>
  <c r="AV2146" i="1"/>
  <c r="AV2600" i="1"/>
  <c r="AU1701" i="1"/>
  <c r="BC1382" i="1"/>
  <c r="AV1994" i="1"/>
  <c r="BC353" i="1"/>
  <c r="BC1602" i="1"/>
  <c r="BC2521" i="1"/>
  <c r="AV1652" i="1"/>
  <c r="BC1880" i="1"/>
  <c r="AV2596" i="1"/>
  <c r="BC2236" i="1"/>
  <c r="M2150" i="1"/>
  <c r="AV1781" i="1"/>
  <c r="AV2651" i="1"/>
  <c r="AV1639" i="1"/>
  <c r="K14" i="1"/>
  <c r="E13" i="2" s="1"/>
  <c r="AU861" i="1"/>
  <c r="AV2618" i="1"/>
  <c r="BC1661" i="1"/>
  <c r="M2103" i="1"/>
  <c r="BC2067" i="1"/>
  <c r="AV2756" i="1"/>
  <c r="AV1904" i="1"/>
  <c r="K2755" i="1"/>
  <c r="K2754" i="1" s="1"/>
  <c r="E75" i="2" s="1"/>
  <c r="AV2593" i="1"/>
  <c r="BC2566" i="1"/>
  <c r="BC2642" i="1"/>
  <c r="BC2555" i="1"/>
  <c r="AV1912" i="1"/>
  <c r="J690" i="1"/>
  <c r="D27" i="2" s="1"/>
  <c r="AV2511" i="1"/>
  <c r="AV2340" i="1"/>
  <c r="BC1921" i="1"/>
  <c r="BC2706" i="1"/>
  <c r="BC2102" i="1"/>
  <c r="AV2102" i="1"/>
  <c r="BC2096" i="1"/>
  <c r="AV2096" i="1"/>
  <c r="BC2071" i="1"/>
  <c r="AV2071" i="1"/>
  <c r="BC2057" i="1"/>
  <c r="AV2057" i="1"/>
  <c r="BC2034" i="1"/>
  <c r="AV2034" i="1"/>
  <c r="BC2484" i="1"/>
  <c r="M2828" i="1"/>
  <c r="BC1866" i="1"/>
  <c r="BC1854" i="1"/>
  <c r="AV906" i="1"/>
  <c r="BC693" i="1"/>
  <c r="AV2591" i="1"/>
  <c r="BC2704" i="1"/>
  <c r="K2828" i="1"/>
  <c r="E87" i="2" s="1"/>
  <c r="BC2651" i="1"/>
  <c r="AV2585" i="1"/>
  <c r="AV1746" i="1"/>
  <c r="BC2639" i="1"/>
  <c r="AV515" i="1"/>
  <c r="BC2715" i="1"/>
  <c r="J2725" i="1"/>
  <c r="D69" i="2" s="1"/>
  <c r="AV2650" i="1"/>
  <c r="AV1899" i="1"/>
  <c r="K1782" i="1"/>
  <c r="E52" i="2" s="1"/>
  <c r="K75" i="1"/>
  <c r="E14" i="2" s="1"/>
  <c r="AV1582" i="1"/>
  <c r="AV2018" i="1"/>
  <c r="BC2648" i="1"/>
  <c r="AV2538" i="1"/>
  <c r="AV1613" i="1"/>
  <c r="AV1599" i="1"/>
  <c r="BC270" i="1"/>
  <c r="BC2539" i="1"/>
  <c r="AV2731" i="1"/>
  <c r="BC1580" i="1"/>
  <c r="BC2661" i="1"/>
  <c r="AV532" i="1"/>
  <c r="AV2656" i="1"/>
  <c r="BC2396" i="1"/>
  <c r="BC2398" i="1"/>
  <c r="AV1884" i="1"/>
  <c r="AV1832" i="1"/>
  <c r="AU1604" i="1"/>
  <c r="BC2696" i="1"/>
  <c r="AV2706" i="1"/>
  <c r="AV1829" i="1"/>
  <c r="BC1930" i="1"/>
  <c r="BC1844" i="1"/>
  <c r="AV1921" i="1"/>
  <c r="AV475" i="1"/>
  <c r="BC2702" i="1"/>
  <c r="BC2761" i="1"/>
  <c r="AV2575" i="1"/>
  <c r="AV2699" i="1"/>
  <c r="BC2686" i="1"/>
  <c r="BC2618" i="1"/>
  <c r="BC2546" i="1"/>
  <c r="AV526" i="1"/>
  <c r="BC413" i="1"/>
  <c r="AV1821" i="1"/>
  <c r="AV1900" i="1"/>
  <c r="AV1767" i="1"/>
  <c r="AV1692" i="1"/>
  <c r="BC882" i="1"/>
  <c r="BC1344" i="1"/>
  <c r="BC2632" i="1"/>
  <c r="K2103" i="1"/>
  <c r="BC1688" i="1"/>
  <c r="AV2515" i="1"/>
  <c r="M684" i="1"/>
  <c r="M2794" i="1"/>
  <c r="BC2823" i="1"/>
  <c r="BC1168" i="1"/>
  <c r="BC1655" i="1"/>
  <c r="J2834" i="1"/>
  <c r="D89" i="2" s="1"/>
  <c r="AV2696" i="1"/>
  <c r="BC2549" i="1"/>
  <c r="BC2495" i="1"/>
  <c r="AV2468" i="1"/>
  <c r="BC2434" i="1"/>
  <c r="BC86" i="1"/>
  <c r="BC2609" i="1"/>
  <c r="AV2621" i="1"/>
  <c r="AV269" i="1"/>
  <c r="J2235" i="1"/>
  <c r="D61" i="2" s="1"/>
  <c r="AV2665" i="1"/>
  <c r="AV1174" i="1"/>
  <c r="AV2603" i="1"/>
  <c r="BC2563" i="1"/>
  <c r="M1161" i="1"/>
  <c r="AU690" i="1"/>
  <c r="AV505" i="1"/>
  <c r="AV1676" i="1"/>
  <c r="BC2229" i="1"/>
  <c r="BC2689" i="1"/>
  <c r="AV941" i="1"/>
  <c r="AV2642" i="1"/>
  <c r="AV1671" i="1"/>
  <c r="AV640" i="1"/>
  <c r="BC1764" i="1"/>
  <c r="AV2490" i="1"/>
  <c r="AV1755" i="1"/>
  <c r="AV2510" i="1"/>
  <c r="AV1659" i="1"/>
  <c r="K1170" i="1"/>
  <c r="E33" i="2" s="1"/>
  <c r="M1170" i="1"/>
  <c r="AV1952" i="1"/>
  <c r="BC2451" i="1"/>
  <c r="BC2340" i="1"/>
  <c r="M2800" i="1"/>
  <c r="J2800" i="1"/>
  <c r="D84" i="2" s="1"/>
  <c r="K2800" i="1"/>
  <c r="E84" i="2" s="1"/>
  <c r="BC1259" i="1"/>
  <c r="BC1605" i="1"/>
  <c r="BC1593" i="1"/>
  <c r="BC1671" i="1"/>
  <c r="BC1926" i="1"/>
  <c r="AV2619" i="1"/>
  <c r="BC772" i="1"/>
  <c r="AV1106" i="1"/>
  <c r="M2811" i="1"/>
  <c r="BC1591" i="1"/>
  <c r="AV1168" i="1"/>
  <c r="AV1646" i="1"/>
  <c r="BC298" i="1"/>
  <c r="AV2548" i="1"/>
  <c r="BC2662" i="1"/>
  <c r="AV2599" i="1"/>
  <c r="AV2639" i="1"/>
  <c r="AV1765" i="1"/>
  <c r="AV1636" i="1"/>
  <c r="AV1637" i="1"/>
  <c r="M120" i="1"/>
  <c r="BC862" i="1"/>
  <c r="AV2542" i="1"/>
  <c r="AU2000" i="1"/>
  <c r="BC364" i="1"/>
  <c r="BC130" i="1"/>
  <c r="AV1572" i="1"/>
  <c r="AV2416" i="1"/>
  <c r="BC2511" i="1"/>
  <c r="M2839" i="1"/>
  <c r="AV2535" i="1"/>
  <c r="K677" i="1"/>
  <c r="E25" i="2" s="1"/>
  <c r="BC2476" i="1"/>
  <c r="BC2515" i="1"/>
  <c r="I45" i="4"/>
  <c r="I24" i="3" s="1"/>
  <c r="BC1607" i="1"/>
  <c r="AV693" i="1"/>
  <c r="BC1619" i="1"/>
  <c r="M2755" i="1"/>
  <c r="M2754" i="1" s="1"/>
  <c r="AV2648" i="1"/>
  <c r="AV2488" i="1"/>
  <c r="BC1297" i="1"/>
  <c r="AV970" i="1"/>
  <c r="BC284" i="1"/>
  <c r="AV1148" i="1"/>
  <c r="BC2280" i="1"/>
  <c r="AV1571" i="1"/>
  <c r="AV1694" i="1"/>
  <c r="AV2422" i="1"/>
  <c r="BC1952" i="1"/>
  <c r="E57" i="2"/>
  <c r="AV1205" i="1"/>
  <c r="K2735" i="1"/>
  <c r="E71" i="2" s="1"/>
  <c r="AV2358" i="1"/>
  <c r="AV1969" i="1"/>
  <c r="BC1641" i="1"/>
  <c r="BC1656" i="1"/>
  <c r="M1269" i="1"/>
  <c r="K684" i="1"/>
  <c r="E26" i="2" s="1"/>
  <c r="AV1137" i="1"/>
  <c r="BC1895" i="1"/>
  <c r="BC213" i="1"/>
  <c r="BC2851" i="1"/>
  <c r="BC2803" i="1"/>
  <c r="AV2803" i="1"/>
  <c r="O2763" i="1"/>
  <c r="G78" i="2" s="1"/>
  <c r="BC2459" i="1"/>
  <c r="AV2262" i="1"/>
  <c r="AV2011" i="1"/>
  <c r="AV1957" i="1"/>
  <c r="BC1770" i="1"/>
  <c r="AV1705" i="1"/>
  <c r="BC1633" i="1"/>
  <c r="AV1629" i="1"/>
  <c r="M1387" i="1"/>
  <c r="AV73" i="1"/>
  <c r="BC2729" i="1"/>
  <c r="BC665" i="1"/>
  <c r="BC1589" i="1"/>
  <c r="AV1707" i="1"/>
  <c r="BC1702" i="1"/>
  <c r="BC1618" i="1"/>
  <c r="AU998" i="1"/>
  <c r="AV654" i="1"/>
  <c r="BC1704" i="1"/>
  <c r="BC1587" i="1"/>
  <c r="AV1587" i="1"/>
  <c r="AV2672" i="1"/>
  <c r="AV2532" i="1"/>
  <c r="AV2474" i="1"/>
  <c r="AV2001" i="1"/>
  <c r="AV2221" i="1"/>
  <c r="AV1708" i="1"/>
  <c r="AV1242" i="1"/>
  <c r="J75" i="1"/>
  <c r="D14" i="2" s="1"/>
  <c r="BC273" i="1"/>
  <c r="AV1839" i="1"/>
  <c r="AU2735" i="1"/>
  <c r="BC2314" i="1"/>
  <c r="M1650" i="1"/>
  <c r="AV1820" i="1"/>
  <c r="J14" i="1"/>
  <c r="D13" i="2" s="1"/>
  <c r="AV772" i="1"/>
  <c r="BC1106" i="1"/>
  <c r="BC85" i="1"/>
  <c r="BC1562" i="1"/>
  <c r="BC1694" i="1"/>
  <c r="AV2491" i="1"/>
  <c r="J2000" i="1"/>
  <c r="D55" i="2" s="1"/>
  <c r="AV1603" i="1"/>
  <c r="BC2612" i="1"/>
  <c r="AV1836" i="1"/>
  <c r="M2235" i="1"/>
  <c r="AV1817" i="1"/>
  <c r="AV1355" i="1"/>
  <c r="AV1382" i="1"/>
  <c r="BC1576" i="1"/>
  <c r="F76" i="2"/>
  <c r="I76" i="2" s="1"/>
  <c r="O2849" i="1"/>
  <c r="G96" i="2" s="1"/>
  <c r="G97" i="2"/>
  <c r="AV2761" i="1"/>
  <c r="BC2698" i="1"/>
  <c r="M2776" i="1"/>
  <c r="BC1979" i="1"/>
  <c r="K2000" i="1"/>
  <c r="E55" i="2" s="1"/>
  <c r="AV1799" i="1"/>
  <c r="BC1696" i="1"/>
  <c r="BC542" i="1"/>
  <c r="BC112" i="1"/>
  <c r="BC65" i="1"/>
  <c r="AV882" i="1"/>
  <c r="AV1611" i="1"/>
  <c r="O2762" i="1"/>
  <c r="G77" i="2" s="1"/>
  <c r="G88" i="2"/>
  <c r="AV1902" i="1"/>
  <c r="AV1769" i="1"/>
  <c r="AU1621" i="1"/>
  <c r="AV1154" i="1"/>
  <c r="BC624" i="1"/>
  <c r="BC504" i="1"/>
  <c r="AV1605" i="1"/>
  <c r="AV1886" i="1"/>
  <c r="AV2645" i="1"/>
  <c r="BC2809" i="1"/>
  <c r="AV2809" i="1"/>
  <c r="O2536" i="1"/>
  <c r="G64" i="2" s="1"/>
  <c r="G65" i="2"/>
  <c r="BC1888" i="1"/>
  <c r="K1642" i="1"/>
  <c r="E46" i="2" s="1"/>
  <c r="K2794" i="1"/>
  <c r="E82" i="2" s="1"/>
  <c r="K2033" i="1"/>
  <c r="E56" i="2" s="1"/>
  <c r="D29" i="2"/>
  <c r="BC2633" i="1"/>
  <c r="AV2845" i="1"/>
  <c r="BC2841" i="1"/>
  <c r="L2849" i="1"/>
  <c r="F96" i="2" s="1"/>
  <c r="F97" i="2"/>
  <c r="I97" i="2" s="1"/>
  <c r="K2849" i="1"/>
  <c r="E96" i="2" s="1"/>
  <c r="E97" i="2"/>
  <c r="K2846" i="1"/>
  <c r="E94" i="2" s="1"/>
  <c r="E95" i="2"/>
  <c r="J2846" i="1"/>
  <c r="D94" i="2" s="1"/>
  <c r="D95" i="2"/>
  <c r="AV2843" i="1"/>
  <c r="L2827" i="1"/>
  <c r="F86" i="2" s="1"/>
  <c r="F89" i="2"/>
  <c r="I89" i="2" s="1"/>
  <c r="D87" i="2"/>
  <c r="AU2811" i="1"/>
  <c r="K2811" i="1"/>
  <c r="E85" i="2" s="1"/>
  <c r="AV2824" i="1"/>
  <c r="J2811" i="1"/>
  <c r="D85" i="2" s="1"/>
  <c r="AV2816" i="1"/>
  <c r="BC2816" i="1"/>
  <c r="L2762" i="1"/>
  <c r="F77" i="2" s="1"/>
  <c r="J2776" i="1"/>
  <c r="D81" i="2" s="1"/>
  <c r="AV2786" i="1"/>
  <c r="BC2786" i="1"/>
  <c r="AV2783" i="1"/>
  <c r="O2754" i="1"/>
  <c r="G75" i="2" s="1"/>
  <c r="G76" i="2"/>
  <c r="J2735" i="1"/>
  <c r="D71" i="2" s="1"/>
  <c r="K2725" i="1"/>
  <c r="E69" i="2" s="1"/>
  <c r="M2725" i="1"/>
  <c r="L2718" i="1"/>
  <c r="F67" i="2" s="1"/>
  <c r="F69" i="2"/>
  <c r="I69" i="2" s="1"/>
  <c r="L2717" i="1"/>
  <c r="F66" i="2" s="1"/>
  <c r="AV2720" i="1"/>
  <c r="AV2635" i="1"/>
  <c r="BC2550" i="1"/>
  <c r="AV2550" i="1"/>
  <c r="BC2645" i="1"/>
  <c r="J2537" i="1"/>
  <c r="BC2611" i="1"/>
  <c r="AU2537" i="1"/>
  <c r="BC2713" i="1"/>
  <c r="AV2713" i="1"/>
  <c r="AV2702" i="1"/>
  <c r="BC2547" i="1"/>
  <c r="AV2547" i="1"/>
  <c r="AV2540" i="1"/>
  <c r="BC2635" i="1"/>
  <c r="AV2633" i="1"/>
  <c r="AV2676" i="1"/>
  <c r="AV2653" i="1"/>
  <c r="AV2636" i="1"/>
  <c r="AV2543" i="1"/>
  <c r="BC2615" i="1"/>
  <c r="AV2576" i="1"/>
  <c r="BC2576" i="1"/>
  <c r="AV2638" i="1"/>
  <c r="BC2638" i="1"/>
  <c r="AV2679" i="1"/>
  <c r="L2536" i="1"/>
  <c r="F64" i="2" s="1"/>
  <c r="F65" i="2"/>
  <c r="I65" i="2" s="1"/>
  <c r="BC2680" i="1"/>
  <c r="AV2680" i="1"/>
  <c r="BC2641" i="1"/>
  <c r="AV2630" i="1"/>
  <c r="BC2551" i="1"/>
  <c r="C18" i="3"/>
  <c r="C19" i="3"/>
  <c r="BC2502" i="1"/>
  <c r="AV2502" i="1"/>
  <c r="BC2497" i="1"/>
  <c r="AV2497" i="1"/>
  <c r="AV2471" i="1"/>
  <c r="AV2470" i="1"/>
  <c r="BC2470" i="1"/>
  <c r="AV2473" i="1"/>
  <c r="BC2473" i="1"/>
  <c r="AV2463" i="1"/>
  <c r="BC2463" i="1"/>
  <c r="BC2457" i="1"/>
  <c r="AV2456" i="1"/>
  <c r="BC2456" i="1"/>
  <c r="AV2447" i="1"/>
  <c r="AV2445" i="1"/>
  <c r="AV2435" i="1"/>
  <c r="AV2417" i="1"/>
  <c r="BC2414" i="1"/>
  <c r="AV2414" i="1"/>
  <c r="AU2359" i="1"/>
  <c r="J2359" i="1"/>
  <c r="D63" i="2" s="1"/>
  <c r="K2359" i="1"/>
  <c r="E63" i="2" s="1"/>
  <c r="BC2355" i="1"/>
  <c r="AV2331" i="1"/>
  <c r="J2239" i="1"/>
  <c r="D62" i="2" s="1"/>
  <c r="BC2258" i="1"/>
  <c r="BC2256" i="1"/>
  <c r="AV2256" i="1"/>
  <c r="BC2242" i="1"/>
  <c r="M2226" i="1"/>
  <c r="J2033" i="1"/>
  <c r="D56" i="2" s="1"/>
  <c r="AU2033" i="1"/>
  <c r="M2033" i="1"/>
  <c r="M2000" i="1"/>
  <c r="BC1938" i="1"/>
  <c r="J1894" i="1"/>
  <c r="D54" i="2" s="1"/>
  <c r="BC1903" i="1"/>
  <c r="BC1912" i="1"/>
  <c r="BC1893" i="1"/>
  <c r="AU1894" i="1"/>
  <c r="BC1904" i="1"/>
  <c r="AV1868" i="1"/>
  <c r="AV1830" i="1"/>
  <c r="AV1857" i="1"/>
  <c r="BC1811" i="1"/>
  <c r="AV1811" i="1"/>
  <c r="BC1814" i="1"/>
  <c r="AV1814" i="1"/>
  <c r="J1818" i="1"/>
  <c r="D53" i="2" s="1"/>
  <c r="BC1783" i="1"/>
  <c r="AV1783" i="1"/>
  <c r="BC1802" i="1"/>
  <c r="AV1802" i="1"/>
  <c r="BC1825" i="1"/>
  <c r="AV1848" i="1"/>
  <c r="BC1767" i="1"/>
  <c r="BC1748" i="1"/>
  <c r="AV1748" i="1"/>
  <c r="BC1758" i="1"/>
  <c r="AV1758" i="1"/>
  <c r="BC1754" i="1"/>
  <c r="AV1754" i="1"/>
  <c r="AU1730" i="1"/>
  <c r="BC1747" i="1"/>
  <c r="AV1747" i="1"/>
  <c r="AV1756" i="1"/>
  <c r="BC1756" i="1"/>
  <c r="BC1766" i="1"/>
  <c r="AV1766" i="1"/>
  <c r="M1674" i="1"/>
  <c r="AU1674" i="1"/>
  <c r="BC1678" i="1"/>
  <c r="BC1672" i="1"/>
  <c r="J1674" i="1"/>
  <c r="D48" i="2" s="1"/>
  <c r="BC1611" i="1"/>
  <c r="AV1568" i="1"/>
  <c r="BC1568" i="1"/>
  <c r="AV1616" i="1"/>
  <c r="AU1592" i="1"/>
  <c r="AV1602" i="1"/>
  <c r="BC1566" i="1"/>
  <c r="BC1654" i="1"/>
  <c r="K1612" i="1"/>
  <c r="E43" i="2" s="1"/>
  <c r="J1635" i="1"/>
  <c r="D45" i="2" s="1"/>
  <c r="K1635" i="1"/>
  <c r="E45" i="2" s="1"/>
  <c r="AU1642" i="1"/>
  <c r="BC1557" i="1"/>
  <c r="M1642" i="1"/>
  <c r="BC1616" i="1"/>
  <c r="M1612" i="1"/>
  <c r="J1642" i="1"/>
  <c r="D46" i="2" s="1"/>
  <c r="AU1650" i="1"/>
  <c r="J1575" i="1"/>
  <c r="D40" i="2" s="1"/>
  <c r="M1553" i="1"/>
  <c r="M1621" i="1"/>
  <c r="M1604" i="1"/>
  <c r="K1604" i="1"/>
  <c r="E42" i="2" s="1"/>
  <c r="AU1553" i="1"/>
  <c r="K1592" i="1"/>
  <c r="E41" i="2" s="1"/>
  <c r="BC1603" i="1"/>
  <c r="K1575" i="1"/>
  <c r="E40" i="2" s="1"/>
  <c r="AV1565" i="1"/>
  <c r="BC1565" i="1"/>
  <c r="J1604" i="1"/>
  <c r="D42" i="2" s="1"/>
  <c r="BC1643" i="1"/>
  <c r="AV1619" i="1"/>
  <c r="AV1624" i="1"/>
  <c r="C17" i="3"/>
  <c r="AU1387" i="1"/>
  <c r="AV1344" i="1"/>
  <c r="AV1314" i="1"/>
  <c r="BC1314" i="1"/>
  <c r="AV1282" i="1"/>
  <c r="O12" i="1"/>
  <c r="G11" i="2" s="1"/>
  <c r="BC1266" i="1"/>
  <c r="M1178" i="1"/>
  <c r="AU1178" i="1"/>
  <c r="C16" i="3"/>
  <c r="K1178" i="1"/>
  <c r="E36" i="2" s="1"/>
  <c r="J1170" i="1"/>
  <c r="D33" i="2" s="1"/>
  <c r="BC1176" i="1"/>
  <c r="BC1158" i="1"/>
  <c r="AV1158" i="1"/>
  <c r="K1133" i="1"/>
  <c r="E31" i="2" s="1"/>
  <c r="K1161" i="1"/>
  <c r="E32" i="2" s="1"/>
  <c r="AU1133" i="1"/>
  <c r="BC1148" i="1"/>
  <c r="E29" i="2"/>
  <c r="J861" i="1"/>
  <c r="D28" i="2" s="1"/>
  <c r="BC896" i="1"/>
  <c r="K861" i="1"/>
  <c r="E28" i="2" s="1"/>
  <c r="M690" i="1"/>
  <c r="K690" i="1"/>
  <c r="E27" i="2" s="1"/>
  <c r="AV687" i="1"/>
  <c r="BC651" i="1"/>
  <c r="BC639" i="1"/>
  <c r="AV623" i="1"/>
  <c r="BC640" i="1"/>
  <c r="K405" i="1"/>
  <c r="E21" i="2" s="1"/>
  <c r="AU405" i="1"/>
  <c r="BC481" i="1"/>
  <c r="AV490" i="1"/>
  <c r="C15" i="3"/>
  <c r="BC469" i="1"/>
  <c r="BC443" i="1"/>
  <c r="AV443" i="1"/>
  <c r="BC429" i="1"/>
  <c r="AV429" i="1"/>
  <c r="L13" i="1"/>
  <c r="F12" i="2" s="1"/>
  <c r="K209" i="1"/>
  <c r="E19" i="2" s="1"/>
  <c r="K127" i="1"/>
  <c r="E18" i="2" s="1"/>
  <c r="AV212" i="1"/>
  <c r="J127" i="1"/>
  <c r="D18" i="2" s="1"/>
  <c r="M111" i="1"/>
  <c r="AV123" i="1"/>
  <c r="C14" i="3"/>
  <c r="L2853" i="1"/>
  <c r="BC2461" i="1"/>
  <c r="AV2461" i="1"/>
  <c r="BC1954" i="1"/>
  <c r="AV1954" i="1"/>
  <c r="BC1876" i="1"/>
  <c r="AV1876" i="1"/>
  <c r="J1553" i="1"/>
  <c r="D39" i="2" s="1"/>
  <c r="BC1268" i="1"/>
  <c r="AV1268" i="1"/>
  <c r="BC1564" i="1"/>
  <c r="AV1564" i="1"/>
  <c r="BC1584" i="1"/>
  <c r="J361" i="1"/>
  <c r="D20" i="2" s="1"/>
  <c r="BC867" i="1"/>
  <c r="AV867" i="1"/>
  <c r="AV681" i="1"/>
  <c r="BC681" i="1"/>
  <c r="BC206" i="1"/>
  <c r="AV206" i="1"/>
  <c r="BC83" i="1"/>
  <c r="AV83" i="1"/>
  <c r="O2827" i="1"/>
  <c r="G86" i="2" s="1"/>
  <c r="BC2753" i="1"/>
  <c r="AV2753" i="1"/>
  <c r="BC2708" i="1"/>
  <c r="AV2708" i="1"/>
  <c r="BC2681" i="1"/>
  <c r="AV2681" i="1"/>
  <c r="AV2697" i="1"/>
  <c r="BC2697" i="1"/>
  <c r="BC2640" i="1"/>
  <c r="AV2640" i="1"/>
  <c r="BC2541" i="1"/>
  <c r="AV2541" i="1"/>
  <c r="BC2556" i="1"/>
  <c r="AV2556" i="1"/>
  <c r="BC2480" i="1"/>
  <c r="AV2480" i="1"/>
  <c r="BC2607" i="1"/>
  <c r="AV2607" i="1"/>
  <c r="BC2410" i="1"/>
  <c r="AV2410" i="1"/>
  <c r="AU2235" i="1"/>
  <c r="BC2333" i="1"/>
  <c r="AV2333" i="1"/>
  <c r="BC2260" i="1"/>
  <c r="AV2260" i="1"/>
  <c r="K2239" i="1"/>
  <c r="E62" i="2" s="1"/>
  <c r="BC2266" i="1"/>
  <c r="AV2266" i="1"/>
  <c r="BC1913" i="1"/>
  <c r="AV1913" i="1"/>
  <c r="BC1741" i="1"/>
  <c r="AV1741" i="1"/>
  <c r="M1635" i="1"/>
  <c r="BC1723" i="1"/>
  <c r="AV1723" i="1"/>
  <c r="K2226" i="1"/>
  <c r="E59" i="2" s="1"/>
  <c r="BC1834" i="1"/>
  <c r="AV1834" i="1"/>
  <c r="BC1751" i="1"/>
  <c r="AV1751" i="1"/>
  <c r="K1650" i="1"/>
  <c r="E47" i="2" s="1"/>
  <c r="K1674" i="1"/>
  <c r="E48" i="2" s="1"/>
  <c r="J1650" i="1"/>
  <c r="D47" i="2" s="1"/>
  <c r="AV1749" i="1"/>
  <c r="BC1749" i="1"/>
  <c r="AV1377" i="1"/>
  <c r="M677" i="1"/>
  <c r="AV1597" i="1"/>
  <c r="BC1597" i="1"/>
  <c r="AV1591" i="1"/>
  <c r="AV525" i="1"/>
  <c r="BC525" i="1"/>
  <c r="K361" i="1"/>
  <c r="E20" i="2" s="1"/>
  <c r="AV1596" i="1"/>
  <c r="BC945" i="1"/>
  <c r="AV945" i="1"/>
  <c r="BC406" i="1"/>
  <c r="AV406" i="1"/>
  <c r="BC276" i="1"/>
  <c r="AV276" i="1"/>
  <c r="M75" i="1"/>
  <c r="BC1595" i="1"/>
  <c r="AV1595" i="1"/>
  <c r="BC2655" i="1"/>
  <c r="AV2655" i="1"/>
  <c r="BC2509" i="1"/>
  <c r="AV2509" i="1"/>
  <c r="AV2501" i="1"/>
  <c r="BC1578" i="1"/>
  <c r="AV1578" i="1"/>
  <c r="BC1567" i="1"/>
  <c r="AV1567" i="1"/>
  <c r="BC2453" i="1"/>
  <c r="J1612" i="1"/>
  <c r="D43" i="2" s="1"/>
  <c r="BC1598" i="1"/>
  <c r="AV1598" i="1"/>
  <c r="M2735" i="1"/>
  <c r="BC2707" i="1"/>
  <c r="BC2744" i="1"/>
  <c r="AV2744" i="1"/>
  <c r="BC2692" i="1"/>
  <c r="BC2604" i="1"/>
  <c r="AV2604" i="1"/>
  <c r="BC2580" i="1"/>
  <c r="AV2580" i="1"/>
  <c r="BC2643" i="1"/>
  <c r="AV2643" i="1"/>
  <c r="BC2616" i="1"/>
  <c r="AV2616" i="1"/>
  <c r="BC2601" i="1"/>
  <c r="AV2601" i="1"/>
  <c r="BC2572" i="1"/>
  <c r="BC2574" i="1"/>
  <c r="AV2574" i="1"/>
  <c r="BC2505" i="1"/>
  <c r="AV2505" i="1"/>
  <c r="BC2458" i="1"/>
  <c r="AV2458" i="1"/>
  <c r="AV2486" i="1"/>
  <c r="BC2460" i="1"/>
  <c r="BC2406" i="1"/>
  <c r="AV2406" i="1"/>
  <c r="BC2389" i="1"/>
  <c r="AV2389" i="1"/>
  <c r="BC2336" i="1"/>
  <c r="AV2336" i="1"/>
  <c r="AV1835" i="1"/>
  <c r="BC1852" i="1"/>
  <c r="AV1852" i="1"/>
  <c r="BC1822" i="1"/>
  <c r="AV1822" i="1"/>
  <c r="BC2334" i="1"/>
  <c r="AV2334" i="1"/>
  <c r="BC1840" i="1"/>
  <c r="AV1840" i="1"/>
  <c r="AV1680" i="1"/>
  <c r="BC1680" i="1"/>
  <c r="AU1635" i="1"/>
  <c r="BC1720" i="1"/>
  <c r="AV1720" i="1"/>
  <c r="AV1614" i="1"/>
  <c r="BC1614" i="1"/>
  <c r="J1387" i="1"/>
  <c r="D38" i="2" s="1"/>
  <c r="K1621" i="1"/>
  <c r="E44" i="2" s="1"/>
  <c r="AV1216" i="1"/>
  <c r="BC1216" i="1"/>
  <c r="AU1269" i="1"/>
  <c r="BC1588" i="1"/>
  <c r="AV1588" i="1"/>
  <c r="J1133" i="1"/>
  <c r="D31" i="2" s="1"/>
  <c r="AV584" i="1"/>
  <c r="BC584" i="1"/>
  <c r="BC440" i="1"/>
  <c r="AV440" i="1"/>
  <c r="J111" i="1"/>
  <c r="BC404" i="1"/>
  <c r="AV404" i="1"/>
  <c r="BC199" i="1"/>
  <c r="AV199" i="1"/>
  <c r="C29" i="3"/>
  <c r="F29" i="3" s="1"/>
  <c r="M1818" i="1"/>
  <c r="BC1151" i="1"/>
  <c r="AV1151" i="1"/>
  <c r="BC279" i="1"/>
  <c r="AV279" i="1"/>
  <c r="M1782" i="1"/>
  <c r="BC1726" i="1"/>
  <c r="AV1726" i="1"/>
  <c r="AV2694" i="1"/>
  <c r="BC2694" i="1"/>
  <c r="AV2691" i="1"/>
  <c r="BC2691" i="1"/>
  <c r="BC2678" i="1"/>
  <c r="AV2678" i="1"/>
  <c r="BC2571" i="1"/>
  <c r="AV2571" i="1"/>
  <c r="AV2507" i="1"/>
  <c r="BC2393" i="1"/>
  <c r="AV2393" i="1"/>
  <c r="BC2257" i="1"/>
  <c r="AV2257" i="1"/>
  <c r="BC2124" i="1"/>
  <c r="AV2124" i="1"/>
  <c r="AV2271" i="1"/>
  <c r="BC2271" i="1"/>
  <c r="AV2302" i="1"/>
  <c r="BC2302" i="1"/>
  <c r="BC1717" i="1"/>
  <c r="AV1717" i="1"/>
  <c r="BC1761" i="1"/>
  <c r="AV1761" i="1"/>
  <c r="BC1647" i="1"/>
  <c r="AV1647" i="1"/>
  <c r="AV1668" i="1"/>
  <c r="BC1668" i="1"/>
  <c r="BC1628" i="1"/>
  <c r="AV1628" i="1"/>
  <c r="BC1555" i="1"/>
  <c r="AV1555" i="1"/>
  <c r="BC1262" i="1"/>
  <c r="AV1262" i="1"/>
  <c r="BC1339" i="1"/>
  <c r="AV1339" i="1"/>
  <c r="BC1855" i="1"/>
  <c r="AV1855" i="1"/>
  <c r="BC1561" i="1"/>
  <c r="AV1561" i="1"/>
  <c r="BC1185" i="1"/>
  <c r="AV1185" i="1"/>
  <c r="AU468" i="1"/>
  <c r="BC272" i="1"/>
  <c r="AV272" i="1"/>
  <c r="BC67" i="1"/>
  <c r="AV67" i="1"/>
  <c r="BC921" i="1"/>
  <c r="AV921" i="1"/>
  <c r="K468" i="1"/>
  <c r="E22" i="2" s="1"/>
  <c r="AV2685" i="1"/>
  <c r="BC2534" i="1"/>
  <c r="AV2534" i="1"/>
  <c r="BC1380" i="1"/>
  <c r="AV1380" i="1"/>
  <c r="BC2485" i="1"/>
  <c r="AV2485" i="1"/>
  <c r="BC2386" i="1"/>
  <c r="AV2386" i="1"/>
  <c r="J2755" i="1"/>
  <c r="AV2848" i="1"/>
  <c r="BC2848" i="1"/>
  <c r="AU2776" i="1"/>
  <c r="AV2703" i="1"/>
  <c r="BC2703" i="1"/>
  <c r="O2718" i="1"/>
  <c r="G67" i="2" s="1"/>
  <c r="O2717" i="1"/>
  <c r="G66" i="2" s="1"/>
  <c r="L2763" i="1"/>
  <c r="F78" i="2" s="1"/>
  <c r="BC2649" i="1"/>
  <c r="AV2649" i="1"/>
  <c r="BC2475" i="1"/>
  <c r="AV2475" i="1"/>
  <c r="BC2454" i="1"/>
  <c r="AV2454" i="1"/>
  <c r="AV2439" i="1"/>
  <c r="BC2439" i="1"/>
  <c r="BC2418" i="1"/>
  <c r="BC2227" i="1"/>
  <c r="AV2254" i="1"/>
  <c r="J1782" i="1"/>
  <c r="D52" i="2" s="1"/>
  <c r="M1894" i="1"/>
  <c r="AV1973" i="1"/>
  <c r="BC1973" i="1"/>
  <c r="BC1982" i="1"/>
  <c r="AV1982" i="1"/>
  <c r="BC1928" i="1"/>
  <c r="AV1928" i="1"/>
  <c r="BC2003" i="1"/>
  <c r="AV2003" i="1"/>
  <c r="K2235" i="1"/>
  <c r="E61" i="2" s="1"/>
  <c r="BC1870" i="1"/>
  <c r="AV1870" i="1"/>
  <c r="BC1901" i="1"/>
  <c r="BC1714" i="1"/>
  <c r="AV1714" i="1"/>
  <c r="AV1662" i="1"/>
  <c r="BC1662" i="1"/>
  <c r="AV1645" i="1"/>
  <c r="BC1645" i="1"/>
  <c r="BC2295" i="1"/>
  <c r="AV2295" i="1"/>
  <c r="AV1617" i="1"/>
  <c r="BC1617" i="1"/>
  <c r="BC1360" i="1"/>
  <c r="AV1360" i="1"/>
  <c r="L1177" i="1"/>
  <c r="F35" i="2" s="1"/>
  <c r="BC1581" i="1"/>
  <c r="AV1581" i="1"/>
  <c r="AV1327" i="1"/>
  <c r="BC1172" i="1"/>
  <c r="AV1172" i="1"/>
  <c r="BC1160" i="1"/>
  <c r="AV1160" i="1"/>
  <c r="AV1600" i="1"/>
  <c r="BC1600" i="1"/>
  <c r="AV1386" i="1"/>
  <c r="BC1134" i="1"/>
  <c r="AV1134" i="1"/>
  <c r="BC362" i="1"/>
  <c r="AV362" i="1"/>
  <c r="BC176" i="1"/>
  <c r="AV176" i="1"/>
  <c r="M14" i="1"/>
  <c r="BC1882" i="1"/>
  <c r="AV1882" i="1"/>
  <c r="BC2667" i="1"/>
  <c r="AV2667" i="1"/>
  <c r="AV1759" i="1"/>
  <c r="BC1759" i="1"/>
  <c r="BC1630" i="1"/>
  <c r="AV1630" i="1"/>
  <c r="BC1669" i="1"/>
  <c r="AV1669" i="1"/>
  <c r="AV1594" i="1"/>
  <c r="BC1594" i="1"/>
  <c r="AV2777" i="1"/>
  <c r="BC2777" i="1"/>
  <c r="BC2701" i="1"/>
  <c r="BC2712" i="1"/>
  <c r="AV2712" i="1"/>
  <c r="BC2687" i="1"/>
  <c r="AV2687" i="1"/>
  <c r="BC2598" i="1"/>
  <c r="AV2598" i="1"/>
  <c r="BC2565" i="1"/>
  <c r="AV2565" i="1"/>
  <c r="BC2595" i="1"/>
  <c r="AV2595" i="1"/>
  <c r="BC2526" i="1"/>
  <c r="AV2526" i="1"/>
  <c r="AV2465" i="1"/>
  <c r="BC2249" i="1"/>
  <c r="AV2249" i="1"/>
  <c r="BC2364" i="1"/>
  <c r="AV2364" i="1"/>
  <c r="AV1908" i="1"/>
  <c r="BC1908" i="1"/>
  <c r="AV1837" i="1"/>
  <c r="BC1837" i="1"/>
  <c r="BC1843" i="1"/>
  <c r="AV1843" i="1"/>
  <c r="BC1858" i="1"/>
  <c r="AV1858" i="1"/>
  <c r="BC1864" i="1"/>
  <c r="AV1864" i="1"/>
  <c r="K1701" i="1"/>
  <c r="E49" i="2" s="1"/>
  <c r="J1701" i="1"/>
  <c r="D49" i="2" s="1"/>
  <c r="AV1626" i="1"/>
  <c r="BC1626" i="1"/>
  <c r="AV1609" i="1"/>
  <c r="BC1609" i="1"/>
  <c r="K1387" i="1"/>
  <c r="E38" i="2" s="1"/>
  <c r="BC899" i="1"/>
  <c r="AV899" i="1"/>
  <c r="BC1136" i="1"/>
  <c r="AV1136" i="1"/>
  <c r="AV650" i="1"/>
  <c r="BC650" i="1"/>
  <c r="BC844" i="1"/>
  <c r="AV844" i="1"/>
  <c r="BC357" i="1"/>
  <c r="AV357" i="1"/>
  <c r="BC253" i="1"/>
  <c r="AV253" i="1"/>
  <c r="AV450" i="1"/>
  <c r="BC1861" i="1"/>
  <c r="AV1861" i="1"/>
  <c r="AV2318" i="1"/>
  <c r="BC2318" i="1"/>
  <c r="BC2268" i="1"/>
  <c r="AV2268" i="1"/>
  <c r="BC2151" i="1"/>
  <c r="AV2151" i="1"/>
  <c r="AU2725" i="1"/>
  <c r="AV2795" i="1"/>
  <c r="BC2795" i="1"/>
  <c r="M2719" i="1"/>
  <c r="AV2700" i="1"/>
  <c r="BC2700" i="1"/>
  <c r="BC2682" i="1"/>
  <c r="BC2625" i="1"/>
  <c r="AV2625" i="1"/>
  <c r="AV2673" i="1"/>
  <c r="BC2562" i="1"/>
  <c r="AV2562" i="1"/>
  <c r="BC2472" i="1"/>
  <c r="AV2472" i="1"/>
  <c r="BC2449" i="1"/>
  <c r="AV2449" i="1"/>
  <c r="BC2628" i="1"/>
  <c r="AV2628" i="1"/>
  <c r="AV2426" i="1"/>
  <c r="BC2426" i="1"/>
  <c r="AU2226" i="1"/>
  <c r="M2239" i="1"/>
  <c r="AV2428" i="1"/>
  <c r="BC1923" i="1"/>
  <c r="AV1923" i="1"/>
  <c r="AU1782" i="1"/>
  <c r="K1894" i="1"/>
  <c r="E54" i="2" s="1"/>
  <c r="BC1700" i="1"/>
  <c r="AV1700" i="1"/>
  <c r="AV1819" i="1"/>
  <c r="BC1819" i="1"/>
  <c r="BC1846" i="1"/>
  <c r="AV1846" i="1"/>
  <c r="BC1558" i="1"/>
  <c r="AV1558" i="1"/>
  <c r="J1592" i="1"/>
  <c r="D41" i="2" s="1"/>
  <c r="BC1649" i="1"/>
  <c r="AV1649" i="1"/>
  <c r="J468" i="1"/>
  <c r="D22" i="2" s="1"/>
  <c r="BC697" i="1"/>
  <c r="AV697" i="1"/>
  <c r="O1177" i="1"/>
  <c r="G35" i="2" s="1"/>
  <c r="BC136" i="1"/>
  <c r="AV136" i="1"/>
  <c r="AV2709" i="1"/>
  <c r="BC2709" i="1"/>
  <c r="BC2317" i="1"/>
  <c r="AV2317" i="1"/>
  <c r="AU1818" i="1"/>
  <c r="AV2820" i="1"/>
  <c r="K2776" i="1"/>
  <c r="AU2719" i="1"/>
  <c r="BC2690" i="1"/>
  <c r="AV2690" i="1"/>
  <c r="BC2683" i="1"/>
  <c r="BC2646" i="1"/>
  <c r="AV2646" i="1"/>
  <c r="BC2610" i="1"/>
  <c r="AV2610" i="1"/>
  <c r="BC2631" i="1"/>
  <c r="AV2631" i="1"/>
  <c r="BC2577" i="1"/>
  <c r="AV2577" i="1"/>
  <c r="BC2544" i="1"/>
  <c r="AV2544" i="1"/>
  <c r="BC2478" i="1"/>
  <c r="AV2478" i="1"/>
  <c r="M2359" i="1"/>
  <c r="AV2348" i="1"/>
  <c r="BC2397" i="1"/>
  <c r="AV2397" i="1"/>
  <c r="BC2240" i="1"/>
  <c r="AV2240" i="1"/>
  <c r="AU2239" i="1"/>
  <c r="BC1934" i="1"/>
  <c r="AV1934" i="1"/>
  <c r="BC2301" i="1"/>
  <c r="AV2301" i="1"/>
  <c r="AV2441" i="1"/>
  <c r="K1730" i="1"/>
  <c r="E50" i="2" s="1"/>
  <c r="BC1898" i="1"/>
  <c r="BC1808" i="1"/>
  <c r="BC1729" i="1"/>
  <c r="AV1729" i="1"/>
  <c r="K1818" i="1"/>
  <c r="E53" i="2" s="1"/>
  <c r="AV1656" i="1"/>
  <c r="BC1657" i="1"/>
  <c r="AV1601" i="1"/>
  <c r="BC1601" i="1"/>
  <c r="K1553" i="1"/>
  <c r="E39" i="2" s="1"/>
  <c r="AV1622" i="1"/>
  <c r="BC1622" i="1"/>
  <c r="BC1270" i="1"/>
  <c r="AV1270" i="1"/>
  <c r="M1575" i="1"/>
  <c r="AV460" i="1"/>
  <c r="BC460" i="1"/>
  <c r="AV629" i="1"/>
  <c r="BC629" i="1"/>
  <c r="BC962" i="1"/>
  <c r="AV962" i="1"/>
  <c r="M1133" i="1"/>
  <c r="AV1179" i="1"/>
  <c r="BC1179" i="1"/>
  <c r="BC343" i="1"/>
  <c r="AV343" i="1"/>
  <c r="BC229" i="1"/>
  <c r="AV229" i="1"/>
  <c r="M127" i="1"/>
  <c r="AV528" i="1"/>
  <c r="O13" i="1"/>
  <c r="G12" i="2" s="1"/>
  <c r="BC467" i="1"/>
  <c r="BC2586" i="1"/>
  <c r="AV2586" i="1"/>
  <c r="BC2513" i="1"/>
  <c r="AV2513" i="1"/>
  <c r="K2719" i="1"/>
  <c r="E68" i="2" s="1"/>
  <c r="AV2797" i="1"/>
  <c r="AV2736" i="1"/>
  <c r="BC2736" i="1"/>
  <c r="BC2634" i="1"/>
  <c r="AV2634" i="1"/>
  <c r="BC2669" i="1"/>
  <c r="AV2669" i="1"/>
  <c r="BC2592" i="1"/>
  <c r="AV2592" i="1"/>
  <c r="BC2559" i="1"/>
  <c r="AV2559" i="1"/>
  <c r="BC2568" i="1"/>
  <c r="AV2568" i="1"/>
  <c r="BC2589" i="1"/>
  <c r="AV2589" i="1"/>
  <c r="BC2620" i="1"/>
  <c r="AV2620" i="1"/>
  <c r="BC2518" i="1"/>
  <c r="AV2518" i="1"/>
  <c r="BC2522" i="1"/>
  <c r="AV2522" i="1"/>
  <c r="BC2469" i="1"/>
  <c r="AV2469" i="1"/>
  <c r="BC2443" i="1"/>
  <c r="AV2443" i="1"/>
  <c r="BC2338" i="1"/>
  <c r="BC2381" i="1"/>
  <c r="AV2381" i="1"/>
  <c r="BC2352" i="1"/>
  <c r="AV2352" i="1"/>
  <c r="BC2373" i="1"/>
  <c r="AV2373" i="1"/>
  <c r="BC2231" i="1"/>
  <c r="AV2231" i="1"/>
  <c r="BC2353" i="1"/>
  <c r="AV2353" i="1"/>
  <c r="BC1991" i="1"/>
  <c r="AV1991" i="1"/>
  <c r="BC2367" i="1"/>
  <c r="AV2367" i="1"/>
  <c r="M1701" i="1"/>
  <c r="BC1948" i="1"/>
  <c r="AV1948" i="1"/>
  <c r="BC1849" i="1"/>
  <c r="AV1849" i="1"/>
  <c r="BC1638" i="1"/>
  <c r="BC1711" i="1"/>
  <c r="AV1711" i="1"/>
  <c r="BC1664" i="1"/>
  <c r="AV1664" i="1"/>
  <c r="AV1606" i="1"/>
  <c r="BC1606" i="1"/>
  <c r="BC1632" i="1"/>
  <c r="AV1632" i="1"/>
  <c r="BC1311" i="1"/>
  <c r="AV1311" i="1"/>
  <c r="J1621" i="1"/>
  <c r="D44" i="2" s="1"/>
  <c r="J1269" i="1"/>
  <c r="D37" i="2" s="1"/>
  <c r="BC1145" i="1"/>
  <c r="AV1145" i="1"/>
  <c r="AU1575" i="1"/>
  <c r="BC1254" i="1"/>
  <c r="AV1254" i="1"/>
  <c r="AV536" i="1"/>
  <c r="BC536" i="1"/>
  <c r="M405" i="1"/>
  <c r="M209" i="1"/>
  <c r="BC447" i="1"/>
  <c r="AV447" i="1"/>
  <c r="L12" i="1"/>
  <c r="F11" i="2" s="1"/>
  <c r="J1178" i="1"/>
  <c r="D36" i="2" s="1"/>
  <c r="AV685" i="1"/>
  <c r="BC685" i="1"/>
  <c r="M468" i="1"/>
  <c r="BC2429" i="1"/>
  <c r="AV2429" i="1"/>
  <c r="BC2424" i="1"/>
  <c r="AV2424" i="1"/>
  <c r="BC2675" i="1"/>
  <c r="AV2675" i="1"/>
  <c r="BC2740" i="1"/>
  <c r="AV2740" i="1"/>
  <c r="BC2658" i="1"/>
  <c r="AV2658" i="1"/>
  <c r="K2537" i="1"/>
  <c r="BC2499" i="1"/>
  <c r="AV2499" i="1"/>
  <c r="BC2437" i="1"/>
  <c r="AV2437" i="1"/>
  <c r="BC2400" i="1"/>
  <c r="AV2400" i="1"/>
  <c r="AV2431" i="1"/>
  <c r="BC2350" i="1"/>
  <c r="AV2350" i="1"/>
  <c r="BC2021" i="1"/>
  <c r="AV2021" i="1"/>
  <c r="BC1962" i="1"/>
  <c r="AV1962" i="1"/>
  <c r="AV1950" i="1"/>
  <c r="BC1950" i="1"/>
  <c r="BC1831" i="1"/>
  <c r="AV1831" i="1"/>
  <c r="AV2503" i="1"/>
  <c r="AV1653" i="1"/>
  <c r="BC1653" i="1"/>
  <c r="BC1828" i="1"/>
  <c r="BC1731" i="1"/>
  <c r="AV1731" i="1"/>
  <c r="BC1667" i="1"/>
  <c r="AV1667" i="1"/>
  <c r="AV1121" i="1"/>
  <c r="BC1121" i="1"/>
  <c r="M861" i="1"/>
  <c r="AV1199" i="1"/>
  <c r="BC1199" i="1"/>
  <c r="AV510" i="1"/>
  <c r="BC510" i="1"/>
  <c r="BC475" i="1"/>
  <c r="BC309" i="1"/>
  <c r="AV309" i="1"/>
  <c r="BC214" i="1"/>
  <c r="AV214" i="1"/>
  <c r="BC121" i="1"/>
  <c r="AV121" i="1"/>
  <c r="BC2629" i="1"/>
  <c r="AV2629" i="1"/>
  <c r="BC2652" i="1"/>
  <c r="AV2652" i="1"/>
  <c r="BC2583" i="1"/>
  <c r="AV2583" i="1"/>
  <c r="BC210" i="1"/>
  <c r="AV210" i="1"/>
  <c r="BC1162" i="1"/>
  <c r="AV1162" i="1"/>
  <c r="M2850" i="1"/>
  <c r="M2849" i="1" s="1"/>
  <c r="K2839" i="1"/>
  <c r="AV2688" i="1"/>
  <c r="BC2660" i="1"/>
  <c r="AV2660" i="1"/>
  <c r="BC2637" i="1"/>
  <c r="AV2637" i="1"/>
  <c r="BC2670" i="1"/>
  <c r="AV2670" i="1"/>
  <c r="AV2553" i="1"/>
  <c r="BC2553" i="1"/>
  <c r="BC2695" i="1"/>
  <c r="M2537" i="1"/>
  <c r="M2536" i="1" s="1"/>
  <c r="BC2624" i="1"/>
  <c r="AV2624" i="1"/>
  <c r="BC2487" i="1"/>
  <c r="AV2487" i="1"/>
  <c r="BC2466" i="1"/>
  <c r="AV2466" i="1"/>
  <c r="BC2433" i="1"/>
  <c r="AV2433" i="1"/>
  <c r="BC2613" i="1"/>
  <c r="AV2613" i="1"/>
  <c r="BC2415" i="1"/>
  <c r="AV2415" i="1"/>
  <c r="BC2315" i="1"/>
  <c r="AV2315" i="1"/>
  <c r="BC2149" i="1"/>
  <c r="AV2149" i="1"/>
  <c r="M1730" i="1"/>
  <c r="BC1666" i="1"/>
  <c r="AV1666" i="1"/>
  <c r="AV1620" i="1"/>
  <c r="BC1620" i="1"/>
  <c r="BC1631" i="1"/>
  <c r="AV1631" i="1"/>
  <c r="M1592" i="1"/>
  <c r="J1730" i="1"/>
  <c r="D50" i="2" s="1"/>
  <c r="BC1739" i="1"/>
  <c r="AV1739" i="1"/>
  <c r="AV1648" i="1"/>
  <c r="BC1648" i="1"/>
  <c r="AV1665" i="1"/>
  <c r="BC1665" i="1"/>
  <c r="AV1677" i="1"/>
  <c r="BC1677" i="1"/>
  <c r="BC1686" i="1"/>
  <c r="AV1686" i="1"/>
  <c r="BC1573" i="1"/>
  <c r="AV1573" i="1"/>
  <c r="AV1590" i="1"/>
  <c r="BC1570" i="1"/>
  <c r="AV1570" i="1"/>
  <c r="K1269" i="1"/>
  <c r="BC1627" i="1"/>
  <c r="AV1627" i="1"/>
  <c r="BC1138" i="1"/>
  <c r="AV1138" i="1"/>
  <c r="M361" i="1"/>
  <c r="BC975" i="1"/>
  <c r="AV975" i="1"/>
  <c r="J405" i="1"/>
  <c r="D21" i="2" s="1"/>
  <c r="J209" i="1"/>
  <c r="D19" i="2" s="1"/>
  <c r="BC886" i="1"/>
  <c r="AV886" i="1"/>
  <c r="BC1673" i="1"/>
  <c r="AV1673" i="1"/>
  <c r="BC119" i="1"/>
  <c r="AV119" i="1"/>
  <c r="M2827" i="1" l="1"/>
  <c r="D97" i="2"/>
  <c r="J2827" i="1"/>
  <c r="D86" i="2" s="1"/>
  <c r="M2763" i="1"/>
  <c r="E76" i="2"/>
  <c r="F98" i="2"/>
  <c r="J2762" i="1"/>
  <c r="D77" i="2" s="1"/>
  <c r="J2718" i="1"/>
  <c r="D67" i="2" s="1"/>
  <c r="J2763" i="1"/>
  <c r="D78" i="2" s="1"/>
  <c r="M2762" i="1"/>
  <c r="K2827" i="1"/>
  <c r="E86" i="2" s="1"/>
  <c r="E91" i="2"/>
  <c r="K2763" i="1"/>
  <c r="E78" i="2" s="1"/>
  <c r="E81" i="2"/>
  <c r="J2754" i="1"/>
  <c r="D75" i="2" s="1"/>
  <c r="D76" i="2"/>
  <c r="J2536" i="1"/>
  <c r="D64" i="2" s="1"/>
  <c r="D65" i="2"/>
  <c r="K2536" i="1"/>
  <c r="E64" i="2" s="1"/>
  <c r="E65" i="2"/>
  <c r="M1177" i="1"/>
  <c r="K1177" i="1"/>
  <c r="E35" i="2" s="1"/>
  <c r="E37" i="2"/>
  <c r="C22" i="3"/>
  <c r="H27" i="4" s="1"/>
  <c r="I27" i="4" s="1"/>
  <c r="F29" i="4" s="1"/>
  <c r="K13" i="1"/>
  <c r="E12" i="2" s="1"/>
  <c r="J13" i="1"/>
  <c r="D12" i="2" s="1"/>
  <c r="D16" i="2"/>
  <c r="K2717" i="1"/>
  <c r="E66" i="2" s="1"/>
  <c r="K2718" i="1"/>
  <c r="E67" i="2" s="1"/>
  <c r="I28" i="3"/>
  <c r="I29" i="3" s="1"/>
  <c r="K2762" i="1"/>
  <c r="E77" i="2" s="1"/>
  <c r="J2717" i="1"/>
  <c r="D66" i="2" s="1"/>
  <c r="M2853" i="1"/>
  <c r="M12" i="1"/>
  <c r="M13" i="1"/>
  <c r="J12" i="1"/>
  <c r="D11" i="2" s="1"/>
  <c r="J1177" i="1"/>
  <c r="D35" i="2" s="1"/>
  <c r="M2718" i="1"/>
  <c r="M2717" i="1"/>
  <c r="K12" i="1"/>
  <c r="E11" i="2" s="1"/>
</calcChain>
</file>

<file path=xl/sharedStrings.xml><?xml version="1.0" encoding="utf-8"?>
<sst xmlns="http://schemas.openxmlformats.org/spreadsheetml/2006/main" count="17600" uniqueCount="4352">
  <si>
    <t>Soupis dodávek a prací</t>
  </si>
  <si>
    <t>Název stavby:</t>
  </si>
  <si>
    <t>Nové stanovište ZZS SK Benešov</t>
  </si>
  <si>
    <t>Doba výstavby:</t>
  </si>
  <si>
    <t xml:space="preserve"> </t>
  </si>
  <si>
    <t>Objednatel:</t>
  </si>
  <si>
    <t>Zdravotnická záchraná služba Stredoceského kraje</t>
  </si>
  <si>
    <t>Druh stavby:</t>
  </si>
  <si>
    <t>Zacátek výstavby:</t>
  </si>
  <si>
    <t>Projektant:</t>
  </si>
  <si>
    <t>Mag. Arch. Jaroslav Trávnícek</t>
  </si>
  <si>
    <t>Lokalita:</t>
  </si>
  <si>
    <t>na parc. c. 1833/1, 1833/2, 1833/4, 1833/9, 1833/10, 1834/2, 1834/4, 1834/7, 1838 v k.ú. Benešov u P</t>
  </si>
  <si>
    <t>Konec výstavby:</t>
  </si>
  <si>
    <t>Zhotovitel:</t>
  </si>
  <si>
    <t>dle výberového rízení</t>
  </si>
  <si>
    <t>JKSO:</t>
  </si>
  <si>
    <t>Zpracováno dne:</t>
  </si>
  <si>
    <t>07.04.2024</t>
  </si>
  <si>
    <t>Zpracoval:</t>
  </si>
  <si>
    <t> 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</si>
  <si>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</si>
  <si>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</si>
  <si>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</si>
  <si>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</si>
  <si>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</si>
  <si>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</si>
  <si>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</si>
  <si>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</si>
  <si>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</si>
  <si>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</si>
  <si>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</si>
  <si>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</si>
  <si>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</si>
  <si>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</si>
  <si>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</si>
  <si>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</si>
  <si>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</si>
  <si>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</si>
  <si>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</si>
  <si>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</si>
  <si>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</si>
  <si>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</si>
  <si>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</si>
  <si>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</si>
  <si>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</si>
  <si>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</si>
  <si>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</si>
  <si>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</si>
  <si>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</si>
  <si>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</si>
  <si>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</si>
  <si>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</si>
  <si>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</si>
  <si>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</si>
  <si>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SO01</t>
  </si>
  <si>
    <t>HSV</t>
  </si>
  <si>
    <t>13</t>
  </si>
  <si>
    <t>Hloubené vykopávky</t>
  </si>
  <si>
    <t>1</t>
  </si>
  <si>
    <t>132201212R00</t>
  </si>
  <si>
    <t>Hloubení rýh š.do 200 cm hor.3 do 1000m3,STROJNÌ</t>
  </si>
  <si>
    <t>m3</t>
  </si>
  <si>
    <t>21</t>
  </si>
  <si>
    <t>RTS II / 2023</t>
  </si>
  <si>
    <t>10_13_</t>
  </si>
  <si>
    <t>SO01_10_1_</t>
  </si>
  <si>
    <t>SO01_</t>
  </si>
  <si>
    <t>dle v. c. 01</t>
  </si>
  <si>
    <t>2,3*2,3*0,9*2</t>
  </si>
  <si>
    <t>0,8*0,735*1,15</t>
  </si>
  <si>
    <t>1,85*0,5*0,95</t>
  </si>
  <si>
    <t>(1,0+2,0+1,0*2)*0,6*1,2</t>
  </si>
  <si>
    <t>0,84*0,9*41,985</t>
  </si>
  <si>
    <t>11,005*0,7*0,4*2+0,4825*0,7*0,4</t>
  </si>
  <si>
    <t>10,3255*0,7*0,4</t>
  </si>
  <si>
    <t>(2,4+8,11+3,68)*0,8*0,4</t>
  </si>
  <si>
    <t>7,025*0,7*0,4+13,19*0,8*0,4+17,375*0,7*0,4</t>
  </si>
  <si>
    <t>(0,745*0,5*0,4+3,375*0,5*0,9+0,08*0,5*0,715)*3</t>
  </si>
  <si>
    <t>(0,745*0,4+2,625*0,9+0,825*0,215)*0,5</t>
  </si>
  <si>
    <t>4,2*0,38*0,7</t>
  </si>
  <si>
    <t>19,1375*1,0*0,4+(3,4+7,0)*1,0*0,4+(0,4+0,5)*1,0*0,685</t>
  </si>
  <si>
    <t>13,7*0,7*0,4+(2,94*0,725+4,675*0,7+0,9*0,6+(6,525+5,62+3,88+0,9*2)*0,6+0,7*0,6+3,28*0,8+1,8451*0,7+(8,82+4,825+8,22)*0,7+1,225*0,6+8,94*0,8+5,0*0,7+8,2*0,8+12,54*0,8+8,2*0,7+8,225*0,7+4,875*0,7)*0,4</t>
  </si>
  <si>
    <t>(14,34*1,0+12,925*0,7+7,575*0,8*2+4,8*0,7+1,1*1,6)*0,4</t>
  </si>
  <si>
    <t>0,6*0,5*0,9125*4</t>
  </si>
  <si>
    <t>0,8*0,5*0,5</t>
  </si>
  <si>
    <t>pro podbeton</t>
  </si>
  <si>
    <t>patky</t>
  </si>
  <si>
    <t>2,3*2,3*0,05*2</t>
  </si>
  <si>
    <t>0,8*0,735*0,05</t>
  </si>
  <si>
    <t>1,85*0,5*0,05</t>
  </si>
  <si>
    <t>pasy</t>
  </si>
  <si>
    <t>0,84*0,05*41,985</t>
  </si>
  <si>
    <t>11,005*0,7*0,05*2+0,4825*0,7*0,05</t>
  </si>
  <si>
    <t>10,3255*0,7*0,05</t>
  </si>
  <si>
    <t>(2,4+8,11+3,68)*0,8*0,05</t>
  </si>
  <si>
    <t>7,025*0,7*0,05+13,19*0,8*0,05+17,375*0,7*0,05</t>
  </si>
  <si>
    <t>(0,745*0,5*0,05+3,375*0,5*0,05)*3</t>
  </si>
  <si>
    <t>(0,745*0,4+2,625*0,9)*0,05</t>
  </si>
  <si>
    <t>4,2*0,38*0,05</t>
  </si>
  <si>
    <t>19,1375*1,0*0,05+(3,4+7,0)*1,0*0,05</t>
  </si>
  <si>
    <t>13,7*0,7*0,05+(2,94*0,725+4,675*0,7+0,9*0,6+(6,525+5,62+3,88+0,9*2)*0,6+0,7*0,6+3,28*0,8+1,8451*0,7+(8,82+4,825+8,22)*0,7+1,225*0,6+8,94*0,8+5,0*0,7+8,2*0,8+12,54*0,8+8,2*0,7+8,225*0,7+4,875*0,7)*0,05</t>
  </si>
  <si>
    <t>1,9*1,6*0,4</t>
  </si>
  <si>
    <t>zákl. deska šachty</t>
  </si>
  <si>
    <t>(14,34*1,0+12,925*0,7+7,575*0,8*2+4,8*0,7+1,1*1,6)*0,05</t>
  </si>
  <si>
    <t>(15,565+1,895)*1,2*(0,3+0,425)</t>
  </si>
  <si>
    <t>7,18*2,0*(0,3+0,425)</t>
  </si>
  <si>
    <t>1,25*2,0*1,23</t>
  </si>
  <si>
    <t>12,825*2,0*(0,3+0,535)</t>
  </si>
  <si>
    <t>(19,275+3,3)*2,0*(0,3+0,612)</t>
  </si>
  <si>
    <t>(1,0+2,0+1,0*2)*0,6*0,05</t>
  </si>
  <si>
    <t>(1,015-0,665)*(104,07+138,652+11,0774*0,7*2+29,495*1+14,337*1+20,925+8,225*0,7*2+8,34*0,8+(4,675+4,34)*0,7)</t>
  </si>
  <si>
    <t>0,1*(38,212+8,22*0,7)+10</t>
  </si>
  <si>
    <t>0,261*22,524</t>
  </si>
  <si>
    <t>základová deska šachty</t>
  </si>
  <si>
    <t>((16,015+1,545)*1,2+0,735*0,75)*(0,3+0,425)</t>
  </si>
  <si>
    <t>op. st</t>
  </si>
  <si>
    <t>1,9*1,6*0,05</t>
  </si>
  <si>
    <t>2</t>
  </si>
  <si>
    <t>132201219R00</t>
  </si>
  <si>
    <t>Prípl.za lepivost,hloubení rýh 200cm,hor.3,STROJNÌ</t>
  </si>
  <si>
    <t>408,60112*0,5</t>
  </si>
  <si>
    <t>3</t>
  </si>
  <si>
    <t>131201113R00</t>
  </si>
  <si>
    <t>Hloubení nezapaž. jam hor.3 do 10000 m3, STROJNÌ</t>
  </si>
  <si>
    <t>dle v.c. 02</t>
  </si>
  <si>
    <t>((1026,8+851,9)/2)*1,765</t>
  </si>
  <si>
    <t>482,1*(0,545+0,4)+3,9*6,56*0,035</t>
  </si>
  <si>
    <t>751,3*(0,665-0,39)</t>
  </si>
  <si>
    <t>1,575*77,073+0,52*10,464*10,14</t>
  </si>
  <si>
    <t>4</t>
  </si>
  <si>
    <t>131201119R00</t>
  </si>
  <si>
    <t>Príplatek za lepivost - hloubení nezap.jam v hor.3</t>
  </si>
  <si>
    <t>2497,60474*0,5</t>
  </si>
  <si>
    <t>16</t>
  </si>
  <si>
    <t>Premístení výkopku</t>
  </si>
  <si>
    <t>5</t>
  </si>
  <si>
    <t>162301101R00</t>
  </si>
  <si>
    <t>Vodorovné premístení výkopku z hor.1-4 do 500 m</t>
  </si>
  <si>
    <t>10_16_</t>
  </si>
  <si>
    <t>na deponii</t>
  </si>
  <si>
    <t>2497,60474+408,60112</t>
  </si>
  <si>
    <t>zpet k zásypum</t>
  </si>
  <si>
    <t>620,98416</t>
  </si>
  <si>
    <t>6</t>
  </si>
  <si>
    <t>162701105R00</t>
  </si>
  <si>
    <t>Vodorovné premístení výkopku z hor.1-4 do 10000 m</t>
  </si>
  <si>
    <t>2906,20586-754,22826</t>
  </si>
  <si>
    <t>7</t>
  </si>
  <si>
    <t>162701109R00</t>
  </si>
  <si>
    <t>Príplatek k vod. premístení hor.1-4 za další 1 km</t>
  </si>
  <si>
    <t>2151,9776*10</t>
  </si>
  <si>
    <t>8</t>
  </si>
  <si>
    <t>199000002R00</t>
  </si>
  <si>
    <t>Poplatek za skládku horniny 1- 4</t>
  </si>
  <si>
    <t>9</t>
  </si>
  <si>
    <t>167101102R00</t>
  </si>
  <si>
    <t>Nakládání výkopku z hor. 1 ÷ 4 v množství nad 100 m3</t>
  </si>
  <si>
    <t>k odvozu na skládku a k odvozu k zásypu</t>
  </si>
  <si>
    <t>754,22826</t>
  </si>
  <si>
    <t>17</t>
  </si>
  <si>
    <t>Konstrukce ze zemin</t>
  </si>
  <si>
    <t>10</t>
  </si>
  <si>
    <t>174101101R00</t>
  </si>
  <si>
    <t>Zásyp jam, rýh, šachet se zhutnením</t>
  </si>
  <si>
    <t>10_17_</t>
  </si>
  <si>
    <t>dle v.c. 02,03,04, a rezu</t>
  </si>
  <si>
    <t>1,45*((1,7+0,95)/2)*10,987*2</t>
  </si>
  <si>
    <t>4,73*(7*3+7,17)</t>
  </si>
  <si>
    <t>1,7*(1,88*2+11,63)</t>
  </si>
  <si>
    <t>119,1*0,27+(2,475-0,3)*0,425*(17,215+15,565)</t>
  </si>
  <si>
    <t>1,15*(16+3,5+16,04+1,55)</t>
  </si>
  <si>
    <t>0,574*(19,19+4,3)</t>
  </si>
  <si>
    <t>2,5*20+1,6*1,44*(12+10)</t>
  </si>
  <si>
    <t>uvnitr objektu kolem pasu - plocha v rezu x délka</t>
  </si>
  <si>
    <t>0,1*(11,09*2+8,3*2)</t>
  </si>
  <si>
    <t>0,15*29,85</t>
  </si>
  <si>
    <t>0,104*(14,7+5,2+5,51+3,24+14,9*2+13,125*2+7,7*2+6,4+2,97+4,385*2+3,24)</t>
  </si>
  <si>
    <t>0,069*(5,9+5,85+3,875)</t>
  </si>
  <si>
    <t>0,052*(8,42+4,3)</t>
  </si>
  <si>
    <t>0,09*(19,442+13,34+17,04+8,575*5)</t>
  </si>
  <si>
    <t>0,024*(5,125+7,72)</t>
  </si>
  <si>
    <t>mezi objekty</t>
  </si>
  <si>
    <t>19,93*13,025+33,3485*</t>
  </si>
  <si>
    <t>rez b - plocha v rezu x šírka</t>
  </si>
  <si>
    <t>33,3485*0,27</t>
  </si>
  <si>
    <t>rez E - pud. plocha x tl.</t>
  </si>
  <si>
    <t>18</t>
  </si>
  <si>
    <t>Povrchové úpravy terénu</t>
  </si>
  <si>
    <t>11</t>
  </si>
  <si>
    <t>181300012RAE</t>
  </si>
  <si>
    <t>Rozprostrení ornice v rovine tlouštka 20 cm</t>
  </si>
  <si>
    <t>m2</t>
  </si>
  <si>
    <t>10_18_</t>
  </si>
  <si>
    <t>vc. dovozu ornice. vc. zatravnení</t>
  </si>
  <si>
    <t>dle v.c. 03 a koo sit.</t>
  </si>
  <si>
    <t>12,325*9,23+2,75*12,325+1,436*12,325+119,1+2,085*(30,42+30,27+2,085)</t>
  </si>
  <si>
    <t>4,731*(12,267+5,2+7+3,73)</t>
  </si>
  <si>
    <t>330,008+129,2+539,2</t>
  </si>
  <si>
    <t>58,875</t>
  </si>
  <si>
    <t>12</t>
  </si>
  <si>
    <t>184201117RAB</t>
  </si>
  <si>
    <t>Výsadba vzrostlého stromu, v rovine, komplet vc. dodávky a péce</t>
  </si>
  <si>
    <t>kus</t>
  </si>
  <si>
    <t>Úprava podloží a základové spáry</t>
  </si>
  <si>
    <t>215901101R00</t>
  </si>
  <si>
    <t>Zhutnení podloží</t>
  </si>
  <si>
    <t>10_21_</t>
  </si>
  <si>
    <t>SO01_10_2_</t>
  </si>
  <si>
    <t>1479,63</t>
  </si>
  <si>
    <t>14</t>
  </si>
  <si>
    <t>212850001RAA</t>
  </si>
  <si>
    <t>Drenáž podél základu objektu z dren. trub d 100 mm</t>
  </si>
  <si>
    <t>m</t>
  </si>
  <si>
    <t>bet.lože, obsyp kamenivo, geotextilie,reviz.šachta</t>
  </si>
  <si>
    <t>dle v.c. 03</t>
  </si>
  <si>
    <t>32,666+7,95+17,19+4,0+42,3+12,99+12,99+12,125+12,73+12,711*2+32,7+47,0+6,72+6,72+5,065+5,065+6,701*2</t>
  </si>
  <si>
    <t>27</t>
  </si>
  <si>
    <t>Základy</t>
  </si>
  <si>
    <t>15</t>
  </si>
  <si>
    <t>274361821R00</t>
  </si>
  <si>
    <t>Výztuž základových pasu z betonárské oceli  B500B (10 505)</t>
  </si>
  <si>
    <t>t</t>
  </si>
  <si>
    <t>10_27_</t>
  </si>
  <si>
    <t>7,405</t>
  </si>
  <si>
    <t>dle v. statika - K03</t>
  </si>
  <si>
    <t>275321411R00</t>
  </si>
  <si>
    <t>Železobeton základových patek C 25/30</t>
  </si>
  <si>
    <t>dle v. c. 02 stav. cásti + K03 stat. cásti</t>
  </si>
  <si>
    <t>274321411R00</t>
  </si>
  <si>
    <t>Železobeton základových pasu C 25/30</t>
  </si>
  <si>
    <t>271313511R00</t>
  </si>
  <si>
    <t>Beton podkladní pod základové konstrukce, prostý C12/15</t>
  </si>
  <si>
    <t>19</t>
  </si>
  <si>
    <t>274272110RT5</t>
  </si>
  <si>
    <t>Zdivo základové z bednicích tvárnic, tl. 150 mm</t>
  </si>
  <si>
    <t>výpln tvárnic betonem C 25/30</t>
  </si>
  <si>
    <t>dle v. c. 02 stav. cásti a K03 stat. cásti</t>
  </si>
  <si>
    <t>1,0*1,315</t>
  </si>
  <si>
    <t>šachta</t>
  </si>
  <si>
    <t>20</t>
  </si>
  <si>
    <t>274272130RT5</t>
  </si>
  <si>
    <t>Zdivo základové z bednicích tvárnic, tl. 250 mm</t>
  </si>
  <si>
    <t>(1,25+1,25+1,5)*1,185</t>
  </si>
  <si>
    <t>274272150RT5</t>
  </si>
  <si>
    <t>Zdivo základové z bednicích tvárnic, tl. 400 mm</t>
  </si>
  <si>
    <t>(4,6+11,49)*0,75</t>
  </si>
  <si>
    <t>(2,5+8,11+2,932++6,55+13,59+13,325)*0,5</t>
  </si>
  <si>
    <t>4,65*1,185</t>
  </si>
  <si>
    <t>(7,675+6,0+3,025)*0,5</t>
  </si>
  <si>
    <t>(17,465+9,3+5,3)*0,5</t>
  </si>
  <si>
    <t>8,575*0,5*2</t>
  </si>
  <si>
    <t>(1,7+6,325+6,17+13,55+4,85+1,59+1,075)*0,5</t>
  </si>
  <si>
    <t>1,0*1,075*2</t>
  </si>
  <si>
    <t>(3,68+1,1*2+2,895+8,12*2+5,925)*0,25</t>
  </si>
  <si>
    <t>22</t>
  </si>
  <si>
    <t>274272160RT5</t>
  </si>
  <si>
    <t>Zdivo základové z bednicích tvárnic, tl. 500 mm</t>
  </si>
  <si>
    <t>11,09*0,75</t>
  </si>
  <si>
    <t>(6,3+17,525+14,6+19,238+7,15+8,29+2,45)*0,5</t>
  </si>
  <si>
    <t>3,4*1,185</t>
  </si>
  <si>
    <t>3,28*0,25</t>
  </si>
  <si>
    <t>23</t>
  </si>
  <si>
    <t>273321411R00</t>
  </si>
  <si>
    <t>Železobeton základových desek C 25/30</t>
  </si>
  <si>
    <t>24</t>
  </si>
  <si>
    <t>273351215R00</t>
  </si>
  <si>
    <t>Bednení sten základových desek - zrízení</t>
  </si>
  <si>
    <t>(1,9+1,6)*2*0,4</t>
  </si>
  <si>
    <t>25</t>
  </si>
  <si>
    <t>273351216R00</t>
  </si>
  <si>
    <t>Bednení sten základových desek - odstranení</t>
  </si>
  <si>
    <t>26</t>
  </si>
  <si>
    <t>271531112R00</t>
  </si>
  <si>
    <t>Polštár základu z kameniva drceného 0-63 mm</t>
  </si>
  <si>
    <t>dle v.c.02</t>
  </si>
  <si>
    <t>(111,42+63,673+37,83+14,094+76,07044+50,7625+44,933+48,975+39,693+3,168)*0,15</t>
  </si>
  <si>
    <t>31</t>
  </si>
  <si>
    <t>Zdi podperné a volné</t>
  </si>
  <si>
    <t>311361821R00</t>
  </si>
  <si>
    <t>Výztuž zdí z betonárské oceli B500B (10 505)</t>
  </si>
  <si>
    <t>10_31_</t>
  </si>
  <si>
    <t>SO01_10_3_</t>
  </si>
  <si>
    <t>12,2+5,23</t>
  </si>
  <si>
    <t>28</t>
  </si>
  <si>
    <t>5530008R</t>
  </si>
  <si>
    <t>DT-01 - Trn smykový dilatacní (referencní výrobek LD 20/320-F-A4)</t>
  </si>
  <si>
    <t>dle nabídky</t>
  </si>
  <si>
    <t>29</t>
  </si>
  <si>
    <t>5530009R</t>
  </si>
  <si>
    <t>DT-02 - Trn smykový dilatacní (referencní výrobek LD-Q 20/320-S-A4)</t>
  </si>
  <si>
    <t>30</t>
  </si>
  <si>
    <t>311238312R00</t>
  </si>
  <si>
    <t>Zdivo z keramických tvárnic akustických broušených P15, tl. 190 mm</t>
  </si>
  <si>
    <t>dle v.c. 03 stav. cásti - 1.np - m.c. 1.30</t>
  </si>
  <si>
    <t>(3,265+3,88)*2*2,7-0,9*2,1</t>
  </si>
  <si>
    <t>311271175RT5</t>
  </si>
  <si>
    <t>Zdivo z tvárnic porobetonových hladkých tl. 200 mm</t>
  </si>
  <si>
    <t>tvárnice pro nosné zdivo s výbornými statickými vlastnostmi, 599 x 249 x 200 mm</t>
  </si>
  <si>
    <t>dle v.c. 03 stav. cásti - 1.np</t>
  </si>
  <si>
    <t>dozdívky</t>
  </si>
  <si>
    <t>0,611*4,392</t>
  </si>
  <si>
    <t>0,275*5,97*2</t>
  </si>
  <si>
    <t>32</t>
  </si>
  <si>
    <t>311271177RT6</t>
  </si>
  <si>
    <t>Zdivo z tvárnic porobetonových hladkých tl. 300 mm</t>
  </si>
  <si>
    <t>tvárnice pro nosné zdivo s výbornými statickými vlastnostmi, 499 x 249 x 300 mm</t>
  </si>
  <si>
    <t>(3,6+2,25+5,6+2,6+4,4)*2,9-0,9*2,1*2</t>
  </si>
  <si>
    <t>dle v.c. 04 stav. cásti - 2.np</t>
  </si>
  <si>
    <t>0,25*2,925</t>
  </si>
  <si>
    <t>33</t>
  </si>
  <si>
    <t>311271178RT6</t>
  </si>
  <si>
    <t>Zdivo z tvárnic porobetonových hladkých tl. 375 mm</t>
  </si>
  <si>
    <t>tvárnice pro nosné zdivo s výbornými statickými vlastnostmi,, 399 x 249 x 375 mm</t>
  </si>
  <si>
    <t>dle v.c. 03+04 stav. cásti - 1.np+2.np</t>
  </si>
  <si>
    <t>11,127*5,96+11,5775*6,075+1,5*2,9</t>
  </si>
  <si>
    <t>10,925*1,405</t>
  </si>
  <si>
    <t>34</t>
  </si>
  <si>
    <t>311271114R00</t>
  </si>
  <si>
    <t>Zdivo nosné z cihel vápenopískových P20 na maltu vápenocementovou</t>
  </si>
  <si>
    <t>dle v. c. 03 stav. cásti - 1.np</t>
  </si>
  <si>
    <t>tl. 450mm</t>
  </si>
  <si>
    <t>1,445*2,925*0,3-0,8*2,395*0,3</t>
  </si>
  <si>
    <t>0,995*3,075*0,3</t>
  </si>
  <si>
    <t>((4,45+4,65+5,2)*2,7-0,9*2,1)*0,45</t>
  </si>
  <si>
    <t>30,25*0,77*0,45</t>
  </si>
  <si>
    <t>((15,05+6,21+2,7+0,9)*2,9-0,9*2,1*6)*0,45</t>
  </si>
  <si>
    <t>tl. 300mm</t>
  </si>
  <si>
    <t>((1,8+5,05)*2,9-0,66*0,66)*0,3</t>
  </si>
  <si>
    <t>35</t>
  </si>
  <si>
    <t>311271181R00</t>
  </si>
  <si>
    <t>Zdivo z tvárnic porobetonových tepelne izolacních PDK tl. 375 mm</t>
  </si>
  <si>
    <t>(11,1275*0,545+(3,28+8,808+2,85)*0,65+8,225*0,66)</t>
  </si>
  <si>
    <t>30,25*1,785-(7,24*0,955+4,765*0,955+(2,3+1,06+1,16)*0,705)</t>
  </si>
  <si>
    <t>(6,225+8,82)*2*0,645-3,65*0,645</t>
  </si>
  <si>
    <t>36</t>
  </si>
  <si>
    <t>311271182R00</t>
  </si>
  <si>
    <t>Zdivo z tvárnic porobetonových tepelne izolacních PDK tl. 450 mm</t>
  </si>
  <si>
    <t>dle v. c. 03+04 stav. cásti</t>
  </si>
  <si>
    <t>1.np+2.np</t>
  </si>
  <si>
    <t>11,1275*2,785+9,385*3,023+6,2*6,205+4,8*2,77</t>
  </si>
  <si>
    <t>-(2,35*0,905+0,9*2,1+0,75*2,405*3)</t>
  </si>
  <si>
    <t>(3,282+8,808+2,85)*2,9-(0,5*0,5*4+0,95*2,14)</t>
  </si>
  <si>
    <t>5,275*2,7</t>
  </si>
  <si>
    <t>(5,3+3,165)*2,9-4,0*0,905+8,225*2,9-4,0*0,905</t>
  </si>
  <si>
    <t>(3,28+3,47+5,59)*2,9-(0,8*2,1*2+0,9*2,1)</t>
  </si>
  <si>
    <t>-(11,1275*0,545+(3,28+8,808+2,85)*0,65+8,225*0,66)</t>
  </si>
  <si>
    <t>3,65*2,975</t>
  </si>
  <si>
    <t>(4,982+6,85+5,75)*2,925-1,08*2,395</t>
  </si>
  <si>
    <t>(7,675+0,17)*3,075</t>
  </si>
  <si>
    <t>(6,225+8,82)*2*4,0-3,65*3,0</t>
  </si>
  <si>
    <t>37</t>
  </si>
  <si>
    <t>314259995R00</t>
  </si>
  <si>
    <t>R5 - Díl nastavitelný na 275-365 mm nerez komín, 200 mm</t>
  </si>
  <si>
    <t>38</t>
  </si>
  <si>
    <t>314259825RT1</t>
  </si>
  <si>
    <t>R5 - Komínové teleso nerez., DN 200 mm</t>
  </si>
  <si>
    <t>podtlakový provoz</t>
  </si>
  <si>
    <t>39</t>
  </si>
  <si>
    <t>314259835R00</t>
  </si>
  <si>
    <t>R5 - Protideštová hlava s vypouklým kloubem, nerez komím, DN 200 mm</t>
  </si>
  <si>
    <t>40</t>
  </si>
  <si>
    <t>314259875RT1</t>
  </si>
  <si>
    <t>R5 - Díl s KO, dlouhý, podtlak - nerez komín, 200 mm</t>
  </si>
  <si>
    <t>41</t>
  </si>
  <si>
    <t>314259865RT1</t>
  </si>
  <si>
    <t>R5 - Prostup stropem - nerez komín, DN 200 mm</t>
  </si>
  <si>
    <t>vcetne utesnení</t>
  </si>
  <si>
    <t>42</t>
  </si>
  <si>
    <t>314259815RTR</t>
  </si>
  <si>
    <t>Montáž ostatních prvku nerez komínu</t>
  </si>
  <si>
    <t>odvozeno od RTS</t>
  </si>
  <si>
    <t>43</t>
  </si>
  <si>
    <t>553433362</t>
  </si>
  <si>
    <t>R5 - Díl vynášecí se sponou d 200 mm</t>
  </si>
  <si>
    <t>44</t>
  </si>
  <si>
    <t>5534338123</t>
  </si>
  <si>
    <t>R5 - Díl prechodový d 200 mm</t>
  </si>
  <si>
    <t>45</t>
  </si>
  <si>
    <t>311321826R00</t>
  </si>
  <si>
    <t>Železobeton operných zdí pohledový C 30/37 XA2, XC4, XF3</t>
  </si>
  <si>
    <t>cást operných sten z betonu pohledového - dle v.c. 02 stav. cásti a K03 stat. cásti</t>
  </si>
  <si>
    <t>1,3*2,05*0,4</t>
  </si>
  <si>
    <t>12,825*1,96*0,4</t>
  </si>
  <si>
    <t>(18,4+4,13)*2,1*0,4</t>
  </si>
  <si>
    <t>46</t>
  </si>
  <si>
    <t>311321412R00</t>
  </si>
  <si>
    <t>Železobeton operných zdí C 30/37 XA2, XC2</t>
  </si>
  <si>
    <t>základ i steny, které nebudou z pohledového betonu (opery pod terénem)</t>
  </si>
  <si>
    <t>desky</t>
  </si>
  <si>
    <t>(15,565+1,895)*1,2*0,3</t>
  </si>
  <si>
    <t>((16,015+1,545)*1,2+0,735*0,75)*0,3</t>
  </si>
  <si>
    <t>7,18*2,0*0,3</t>
  </si>
  <si>
    <t>1,25*2,0*0,23</t>
  </si>
  <si>
    <t>12,825*2,0*0,3</t>
  </si>
  <si>
    <t>(19,275+3,3)*2,0*0,3</t>
  </si>
  <si>
    <t>steny</t>
  </si>
  <si>
    <t>(14,865+2,095)*0,4*0,6</t>
  </si>
  <si>
    <t>(16,515+1,295)*0,4*0,6</t>
  </si>
  <si>
    <t>7,18*0,4*0,5</t>
  </si>
  <si>
    <t>47</t>
  </si>
  <si>
    <t>Železobeton nadzákladových zdí C 30/37 XC1</t>
  </si>
  <si>
    <t>dle v.c. K04  stat.c. - 1.NP</t>
  </si>
  <si>
    <t>(1,3+6,55+13,49+13,49+9,3+5,2+1,7+3,28+6,42+6,225+7,5)*3,06*0,3</t>
  </si>
  <si>
    <t>(13,325+2,8)*2,86*0,3</t>
  </si>
  <si>
    <t>(5,2+8,52+5,925+2,795)*2,925*0,3</t>
  </si>
  <si>
    <t>(3,47+2,83+3,58)*1,585*0,3</t>
  </si>
  <si>
    <t>1,395*0,3*1,2</t>
  </si>
  <si>
    <t>1,65*0,3*4,635</t>
  </si>
  <si>
    <t>9,15*0,3*3,06</t>
  </si>
  <si>
    <t>4,615*0,3*2,795</t>
  </si>
  <si>
    <t>-(0,8*2,15*2+0,92*0,85*6+0,9*2,15+2,25*1,67*2+1,2*2,25)*0,3</t>
  </si>
  <si>
    <t>48</t>
  </si>
  <si>
    <t>311351105R00</t>
  </si>
  <si>
    <t>Bednení zdí, oboustranné - zrízení</t>
  </si>
  <si>
    <t>1,3*2,05*2+0,4*2,05*2</t>
  </si>
  <si>
    <t>(12,825+0,4)*1,96*2</t>
  </si>
  <si>
    <t>(18,4+4,53)*2,1*2</t>
  </si>
  <si>
    <t>(15,565+1,895+1,2*2)*2*0,3</t>
  </si>
  <si>
    <t>((16,015+1,545)+1,2*2+0,735+0,75)*0,3*2</t>
  </si>
  <si>
    <t>(7,18+2,0)*0,3*2</t>
  </si>
  <si>
    <t>(1,25+2,0)*0,23*2</t>
  </si>
  <si>
    <t>(12,825+2,0)*0,3*2</t>
  </si>
  <si>
    <t>(19,275+3,3+2,0*2)*0,3*2</t>
  </si>
  <si>
    <t>(14,865+2,495)*2*0,6</t>
  </si>
  <si>
    <t>(16,515+1,695)*2*0,6</t>
  </si>
  <si>
    <t>(7,18+0,4)*2*0,5</t>
  </si>
  <si>
    <t>(1,3+6,55+13,49+13,49+9,3+5,2+1,7+3,28+6,42+6,225+7,5)*3,06*2</t>
  </si>
  <si>
    <t>(13,325+2,8)*2,86*2</t>
  </si>
  <si>
    <t>(5,2+8,52+5,925+2,795)*2,925*2</t>
  </si>
  <si>
    <t>(3,47+2,83+3,58)*1,585*2</t>
  </si>
  <si>
    <t>1,395*2*1,2</t>
  </si>
  <si>
    <t>1,65*2*4,635</t>
  </si>
  <si>
    <t>9,15*2*3,06</t>
  </si>
  <si>
    <t>4,615*2*2,795</t>
  </si>
  <si>
    <t>(0,8*4+2,15*4+0,92*12+2*0,85*6+0,9*22,15*2+2,25*4+2*1,67*2+1,22*2+2*2,25)*0,3</t>
  </si>
  <si>
    <t>49</t>
  </si>
  <si>
    <t>311351106R00</t>
  </si>
  <si>
    <t>Bednení zdí, oboustranné - odstranení</t>
  </si>
  <si>
    <t>50</t>
  </si>
  <si>
    <t>317121047RT2</t>
  </si>
  <si>
    <t>Preklad nenosný pórobetonový, svetlost otvoru do 1050 mm</t>
  </si>
  <si>
    <t>preklad nenosný 100-1250, 124 x 24,9 x 10 cm</t>
  </si>
  <si>
    <t>dle v.c. 04</t>
  </si>
  <si>
    <t>51</t>
  </si>
  <si>
    <t>317121047RT4</t>
  </si>
  <si>
    <t>preklad nenosný 150-1250, 124 x 24,9 x 15 cm</t>
  </si>
  <si>
    <t>52</t>
  </si>
  <si>
    <t>317121044RT8</t>
  </si>
  <si>
    <t>Preklad nosný pórobetonový, svetlost otvoru do 1800 mm</t>
  </si>
  <si>
    <t>preklad nosný 200-1750, 174 x 24,9 x 20 cm</t>
  </si>
  <si>
    <t>53</t>
  </si>
  <si>
    <t>317121044RT2</t>
  </si>
  <si>
    <t>preklad nosný 250-1750, 174 x 24,9 x 25 cm</t>
  </si>
  <si>
    <t>54</t>
  </si>
  <si>
    <t>317121043RT2</t>
  </si>
  <si>
    <t>Preklad nosný pórobetonový, svetlost otvoru do 1050 mm</t>
  </si>
  <si>
    <t>preklad nosný 375-1250, 125 x 24,9 x 37,5 cm</t>
  </si>
  <si>
    <t>2*4</t>
  </si>
  <si>
    <t>Sloupy a pilíre, stožáry a rámové stojky</t>
  </si>
  <si>
    <t>55</t>
  </si>
  <si>
    <t>331361821R00</t>
  </si>
  <si>
    <t>Výztuž sloupu hranatých z betonárské oceli B500B (10 505)</t>
  </si>
  <si>
    <t>10_33_</t>
  </si>
  <si>
    <t>4,61</t>
  </si>
  <si>
    <t>dle v. statika - K12</t>
  </si>
  <si>
    <t>56</t>
  </si>
  <si>
    <t>330321411R00</t>
  </si>
  <si>
    <t>Beton sloupu a pilíru železový C 30/37</t>
  </si>
  <si>
    <t>dle v.c. K04 stat. cásti - 1.np</t>
  </si>
  <si>
    <t>1,1*0,35*3,06*2</t>
  </si>
  <si>
    <t>S2</t>
  </si>
  <si>
    <t>(0,9*0,45+0,6*0,45)*3,06</t>
  </si>
  <si>
    <t>0,595*0,3*6,355*3</t>
  </si>
  <si>
    <t>S1 i vcetne 2.np - v.c. K05</t>
  </si>
  <si>
    <t>dle v.c. K07 stat. cásti - 2.np</t>
  </si>
  <si>
    <t>1,1*0,35*2,925*2</t>
  </si>
  <si>
    <t>2,145*0,265*2,925</t>
  </si>
  <si>
    <t>S3</t>
  </si>
  <si>
    <t>0,65*0,265*3,075*11</t>
  </si>
  <si>
    <t>S4+S7</t>
  </si>
  <si>
    <t>1,0*0,265*3,075</t>
  </si>
  <si>
    <t>S5</t>
  </si>
  <si>
    <t>S6</t>
  </si>
  <si>
    <t>2,545*0,265*2,975</t>
  </si>
  <si>
    <t>S8</t>
  </si>
  <si>
    <t>1,5*0,265*2,975</t>
  </si>
  <si>
    <t>S9</t>
  </si>
  <si>
    <t>0,87*0,265*2,975</t>
  </si>
  <si>
    <t>S10</t>
  </si>
  <si>
    <t>0,635*0,265*2,975</t>
  </si>
  <si>
    <t>S11</t>
  </si>
  <si>
    <t>0,47*0,265*2,975</t>
  </si>
  <si>
    <t>S12</t>
  </si>
  <si>
    <t>1,0*0,265*2,925</t>
  </si>
  <si>
    <t>S13</t>
  </si>
  <si>
    <t>1,5*0,265*2,925</t>
  </si>
  <si>
    <t>S14</t>
  </si>
  <si>
    <t>0,5*0,265*2,925</t>
  </si>
  <si>
    <t>NEOZN. - m.c. 2.01 mezi okny</t>
  </si>
  <si>
    <t>0,8*0,265*2,925*4</t>
  </si>
  <si>
    <t>S15</t>
  </si>
  <si>
    <t>57</t>
  </si>
  <si>
    <t>331351101R00</t>
  </si>
  <si>
    <t>Bednení sloupu ctyrúhelníkového prurezu - zrízení</t>
  </si>
  <si>
    <t>(1,1+0,35)*3,06*2*2</t>
  </si>
  <si>
    <t>(0,9+0,45+0,6+0,45)*3,06*2</t>
  </si>
  <si>
    <t>(0,595+0,3)*6,355*3*2</t>
  </si>
  <si>
    <t>(1,1+0,35)*2,925*2*2</t>
  </si>
  <si>
    <t>(2,145+0,265)*2,925*2</t>
  </si>
  <si>
    <t>(0,65+0,265)*3,075*11*2</t>
  </si>
  <si>
    <t>(1,0+0,265)*3,075*2</t>
  </si>
  <si>
    <t>(2,545+0,265)*2,975*2</t>
  </si>
  <si>
    <t>(1,5+0,265)*2,975*2</t>
  </si>
  <si>
    <t>(0,87+0,265)*2,975*2</t>
  </si>
  <si>
    <t>(0,635+0,265)*2,975*2</t>
  </si>
  <si>
    <t>(0,47+0,265)*2,975*2</t>
  </si>
  <si>
    <t>(1,0+0,265)*2,925*2</t>
  </si>
  <si>
    <t>(1,5+0,265)*2,925*2</t>
  </si>
  <si>
    <t>(0,8+0,265)*2,925*4*2</t>
  </si>
  <si>
    <t>(0,5+0,265)*2,925*2</t>
  </si>
  <si>
    <t>58</t>
  </si>
  <si>
    <t>331351102R00</t>
  </si>
  <si>
    <t>Bednení sloupu ctyrúhelníkového prurezu - odstranení</t>
  </si>
  <si>
    <t>Steny a prícky</t>
  </si>
  <si>
    <t>59</t>
  </si>
  <si>
    <t>342255020R00</t>
  </si>
  <si>
    <t>Prícky z desek porobetonových tl. 50 mm</t>
  </si>
  <si>
    <t>10_34_</t>
  </si>
  <si>
    <t>(0,244+0,225+0,2+0,594)*2,7</t>
  </si>
  <si>
    <t>(0,2+0,65+0,66)*2,9</t>
  </si>
  <si>
    <t>(0,2+0,32+0,25*2)*2,925</t>
  </si>
  <si>
    <t>(0,474+0,23)*3,075</t>
  </si>
  <si>
    <t>60</t>
  </si>
  <si>
    <t>342255022R00</t>
  </si>
  <si>
    <t>Prícky z desek porobetonových tl. 75 mm</t>
  </si>
  <si>
    <t>(1,2*2+1,05+1,2+1,165+1,2*2)*2,9</t>
  </si>
  <si>
    <t>(1,2+2,175+2,19+1,2)*2,925</t>
  </si>
  <si>
    <t>(0,15+1,51)*2,925</t>
  </si>
  <si>
    <t>(1,545+2,005+0,995*4+1,0)*3,075</t>
  </si>
  <si>
    <t>61</t>
  </si>
  <si>
    <t>342255024R00</t>
  </si>
  <si>
    <t>Prícky z desek porobetonových tl. 100 mm</t>
  </si>
  <si>
    <t>(0,705+0,435*2+4,4)*2,9</t>
  </si>
  <si>
    <t>(5,3+2,925+3,375)*2,9</t>
  </si>
  <si>
    <t>2,25*1,67*2</t>
  </si>
  <si>
    <t>-0,7*2,1*4</t>
  </si>
  <si>
    <t>(1,8+3,05)*2,925-0,7*2,1</t>
  </si>
  <si>
    <t>2,1*6*3,075-0,7*2,1*6</t>
  </si>
  <si>
    <t>62</t>
  </si>
  <si>
    <t>342255028R00</t>
  </si>
  <si>
    <t>Prícky z desek porobetonových tl. 150 mm</t>
  </si>
  <si>
    <t>(4,0+3,7)*2,7-0,9*2,1*2</t>
  </si>
  <si>
    <t>(4,4+4,4+3,25)*2,9</t>
  </si>
  <si>
    <t>(5,3+1,2+3,315+0,7+7,5+1,35+5,34+1,3*2+5,325)*2,9</t>
  </si>
  <si>
    <t>-(0,9*2,1*2+0,7*2,1+0,8*2,1)</t>
  </si>
  <si>
    <t>(4,75+4,85+4,15+0,44+11,67+4,0*3+2,25+1,8+1,2)*2,925</t>
  </si>
  <si>
    <t>-(0,7*2,1*2+0,9*2,1+0,8*2,1*4)</t>
  </si>
  <si>
    <t>(7,45+3,05+3,05+4,4+3,2)*2,925-(0,8*3+0,7)*2,1</t>
  </si>
  <si>
    <t>(17,19*2+4,9*5+2,1*2)*3,075-0,8*2,1*9</t>
  </si>
  <si>
    <t>63</t>
  </si>
  <si>
    <t>342255032R00</t>
  </si>
  <si>
    <t>Prícky z desek porobetonových tl. 200 mm</t>
  </si>
  <si>
    <t>4,32*2,925-0,8*2,1</t>
  </si>
  <si>
    <t>64</t>
  </si>
  <si>
    <t>347015235R00</t>
  </si>
  <si>
    <t>Predstena SDK, tl.125 mm, ocel.kce CW, 2x MA 12,5 mm, vc. tmelení a broušení</t>
  </si>
  <si>
    <t>vc. minerální izolace tl. 100mm</t>
  </si>
  <si>
    <t>dle v.c. 03 stav. cásti - 1.np - m.c. 1.30--&gt;1.15</t>
  </si>
  <si>
    <t>4,0*2,7</t>
  </si>
  <si>
    <t>65</t>
  </si>
  <si>
    <t>346275111R00</t>
  </si>
  <si>
    <t>Prizdívky z desek porobetonových tl. 50 mm</t>
  </si>
  <si>
    <t>0,595*5,96</t>
  </si>
  <si>
    <t>m.c. 1.28 - prizdívka sloupu</t>
  </si>
  <si>
    <t>66</t>
  </si>
  <si>
    <t>347291111R0R</t>
  </si>
  <si>
    <t>Obestavba krbové vložky, komplet</t>
  </si>
  <si>
    <t>Individuální</t>
  </si>
  <si>
    <t>dle v. c. 04 - stav. cásti - 2.np</t>
  </si>
  <si>
    <t>67</t>
  </si>
  <si>
    <t>345321616R00</t>
  </si>
  <si>
    <t>Zídky z betonu železového C 30/37</t>
  </si>
  <si>
    <t>atiky</t>
  </si>
  <si>
    <t>dle v. statika - K07 - 2.np</t>
  </si>
  <si>
    <t>0,47*0,2*(5,85+8,535)*2</t>
  </si>
  <si>
    <t>0,47*0,2*(11,19+7,892)</t>
  </si>
  <si>
    <t>0,47*0,265*(9,2+9,385+22,755+17,64+6,48+13,925+30,14+4,925+17,64*2+9,23)</t>
  </si>
  <si>
    <t>dle v. statika - K05 - 1.np</t>
  </si>
  <si>
    <t>0,265*0,645*9,25</t>
  </si>
  <si>
    <t>68</t>
  </si>
  <si>
    <t>345351101R00</t>
  </si>
  <si>
    <t>Bednení zídek plnostenných - zrízení</t>
  </si>
  <si>
    <t>0,47*2*(5,85+8,535)*2</t>
  </si>
  <si>
    <t>0,47*2*(11,19+7,892)</t>
  </si>
  <si>
    <t>0,47*2*(9,2+9,385+22,755+17,64+6,48+13,925+30,14+4,925+17,64*2+9,23)</t>
  </si>
  <si>
    <t>2*0,645*9,25</t>
  </si>
  <si>
    <t>69</t>
  </si>
  <si>
    <t>345351102R00</t>
  </si>
  <si>
    <t>Bednení zídek plnostenných - odstranení</t>
  </si>
  <si>
    <t>Stropy a stropní konstrukce (pro pozemní stavby)</t>
  </si>
  <si>
    <t>70</t>
  </si>
  <si>
    <t>411322525R00</t>
  </si>
  <si>
    <t>Stropy trámové ze železobetonu C 30/37</t>
  </si>
  <si>
    <t>10_41_</t>
  </si>
  <si>
    <t>SO01_10_4_</t>
  </si>
  <si>
    <t>STROPNÍ DESKY DO TRAP. PLECHU</t>
  </si>
  <si>
    <t>1.np - dle v. statika - K05+10</t>
  </si>
  <si>
    <t>280*0,048/2+280*0,052</t>
  </si>
  <si>
    <t>2.np - dle v. statika - K07+K11</t>
  </si>
  <si>
    <t>151*0,048/2+151*0,052</t>
  </si>
  <si>
    <t>71</t>
  </si>
  <si>
    <t>411354255R00</t>
  </si>
  <si>
    <t>Bednení stropu zabudované z ocelových trapézových plechu pozinkovaných vlna 50 mm tl. 0,75 mm</t>
  </si>
  <si>
    <t>336</t>
  </si>
  <si>
    <t>181</t>
  </si>
  <si>
    <t>72</t>
  </si>
  <si>
    <t>411321515R00</t>
  </si>
  <si>
    <t>Stropy deskové ze železobetonu C 30/37</t>
  </si>
  <si>
    <t>desky monolit.</t>
  </si>
  <si>
    <t>1.np - dle v. statika - K05</t>
  </si>
  <si>
    <t>5,925*8,42*0,24</t>
  </si>
  <si>
    <t>3,58*1,8*0,25</t>
  </si>
  <si>
    <t>4,75*13,475*0,2</t>
  </si>
  <si>
    <t>12,972*0,25</t>
  </si>
  <si>
    <t>2.np - dle v. statika - K07</t>
  </si>
  <si>
    <t>14,195*4,93*0,2</t>
  </si>
  <si>
    <t>73</t>
  </si>
  <si>
    <t>411351801R00</t>
  </si>
  <si>
    <t>Bednení cel stropních desek, zrízení</t>
  </si>
  <si>
    <t>(9,315+30,7)*2*0,1</t>
  </si>
  <si>
    <t>(9,23+17,64)*2*0,1</t>
  </si>
  <si>
    <t>0,24*(5,925+8,42)*2</t>
  </si>
  <si>
    <t>0,25*(3,58+1,8)*2</t>
  </si>
  <si>
    <t>0,2*(4,75+13,475)*2</t>
  </si>
  <si>
    <t>0,25*21,76</t>
  </si>
  <si>
    <t>0,2*2*(14,195+4,93)</t>
  </si>
  <si>
    <t>74</t>
  </si>
  <si>
    <t>411351802R00</t>
  </si>
  <si>
    <t>Bednení cel stropních desek, odstranení</t>
  </si>
  <si>
    <t>75</t>
  </si>
  <si>
    <t>411361921R00</t>
  </si>
  <si>
    <t>Výztuž stropu svarovanou sítí</t>
  </si>
  <si>
    <t>2,817</t>
  </si>
  <si>
    <t>1,972</t>
  </si>
  <si>
    <t>76</t>
  </si>
  <si>
    <t>411361821R00</t>
  </si>
  <si>
    <t>Výztuž stropu z betonárské oceli B500B (10 505)</t>
  </si>
  <si>
    <t>17,82</t>
  </si>
  <si>
    <t>16,07</t>
  </si>
  <si>
    <t>77</t>
  </si>
  <si>
    <t>416021121R00</t>
  </si>
  <si>
    <t>Podhledy SDK, kovová.kce CD. 1x deska RB 12,5 mm, vcetne tmelení a broušení</t>
  </si>
  <si>
    <t>dle tab. m. na v. c. 03 -1.np</t>
  </si>
  <si>
    <t>44,1+40,5+22,5+7,4+32,2+9,2+9,0+216,2+64,2+10,0</t>
  </si>
  <si>
    <t>1.07,10,21-26,30</t>
  </si>
  <si>
    <t>dle tab. m. na v.c. 04 - 2.np</t>
  </si>
  <si>
    <t>18,3+41,3+6,2+13,7+13,7+6,2+13,7+13,7+6,2+13,7+13,7+6,7+60,3</t>
  </si>
  <si>
    <t>78</t>
  </si>
  <si>
    <t>416021123R00</t>
  </si>
  <si>
    <t>Podhledy SDK, kovová.kce CD. 1x deska RBI 12,5 mm, vcetne tmelení a broušení</t>
  </si>
  <si>
    <t>3,6+3,2+3,7+3,2+2,4+3,6+1,3</t>
  </si>
  <si>
    <t>1.08,09,11,12,18,19,31</t>
  </si>
  <si>
    <t>1,8+3,5+1,6+3,2+1,6+2,9+2,1+4,4+2,1</t>
  </si>
  <si>
    <t>2.05,08,10,13,15,18,24,29,31</t>
  </si>
  <si>
    <t>79</t>
  </si>
  <si>
    <t>411364170R0R</t>
  </si>
  <si>
    <t>IS1 - konstrukcní prvek dle statika (referencní výrobek Prvek Isokorb XT typ SKP-WU-M1-V1-R0-H200-D16-2.0)</t>
  </si>
  <si>
    <t>dle cenové nabí</t>
  </si>
  <si>
    <t>80</t>
  </si>
  <si>
    <t>411364171R0R</t>
  </si>
  <si>
    <t>IS2 - konstrukcní prvek dle statika (referencní výrobek Prvek Isokorb T typ S-V-R0-D22-2.0)</t>
  </si>
  <si>
    <t>81</t>
  </si>
  <si>
    <t>IS3 - konstrukcní prvek dle statika (referencní výrobek Prvek Isokorb XT typ SKP-MM1_VV1-R0-H200-D16-2.0)</t>
  </si>
  <si>
    <t>82</t>
  </si>
  <si>
    <t>411147212RT2</t>
  </si>
  <si>
    <t>Strop porobetonový, tl. 250 mm, nosník do 3 m</t>
  </si>
  <si>
    <t>vcetne nabetonávky s Kari sítí KH 20, drát d 6 mm, oko 150 x 150 mm, vcetne dobetonávek po obvodu</t>
  </si>
  <si>
    <t>7,205*3,0+2,15*13,04+2,095*5,94+6,074*1,725</t>
  </si>
  <si>
    <t>83</t>
  </si>
  <si>
    <t>411147213RT2</t>
  </si>
  <si>
    <t>Strop porobetonový, tl. 250 mm, nosník 3 - 4,60 m</t>
  </si>
  <si>
    <t>4,065*5,5051</t>
  </si>
  <si>
    <t>84</t>
  </si>
  <si>
    <t>411147214RT2</t>
  </si>
  <si>
    <t>Strop porobetonový, tl. 250 mm, nosník 4,60 - 6,20 m</t>
  </si>
  <si>
    <t>11,295*3,16+14,9*5,3+5,735*5,31+12,0*9,3</t>
  </si>
  <si>
    <t>11,375*9,385+5,855*8,535+16,055*4,93</t>
  </si>
  <si>
    <t>85</t>
  </si>
  <si>
    <t>411147215RT2</t>
  </si>
  <si>
    <t>Strop porobetonový, tl. 250 mm, nosník 6,20 - 7,2 m</t>
  </si>
  <si>
    <t>dle v. statika - K05</t>
  </si>
  <si>
    <t>6,525*19,625+7,25*2,49</t>
  </si>
  <si>
    <t>6,48*22,305</t>
  </si>
  <si>
    <t>86</t>
  </si>
  <si>
    <t>417321415R00</t>
  </si>
  <si>
    <t>Ztužující pásy a vence/trámy a preklady z betonu železového C 30/37</t>
  </si>
  <si>
    <t>ukoncení steny/ lože - pod HEB - dle v.c. K04</t>
  </si>
  <si>
    <t>0,7*0,37*0,15*3+0,55*0,37*0,15</t>
  </si>
  <si>
    <t>rozhramí mezi IPE a porobet. stropem - dle rezu 2.15 na v.c. K07</t>
  </si>
  <si>
    <t>(0,45*0,085+0,19*0,07)*9,0</t>
  </si>
  <si>
    <t>dle v. c. K07 - stat. cásti - 2.np</t>
  </si>
  <si>
    <t>9,2*0,265*0,155+1,15*0,265*(0,25+0,155)*3</t>
  </si>
  <si>
    <t>9,385*0,265*0,155</t>
  </si>
  <si>
    <t>(4,6+6,48)*0,265*0,155</t>
  </si>
  <si>
    <t>(3,35+1,08)*0,265*0,405</t>
  </si>
  <si>
    <t>(3,1+4,93)*0,265*0,155</t>
  </si>
  <si>
    <t>11,508*0,35*0,78</t>
  </si>
  <si>
    <t>P2</t>
  </si>
  <si>
    <t>17,905*0,265*0,655</t>
  </si>
  <si>
    <t>17,905*0,2*0,525</t>
  </si>
  <si>
    <t>12,079*0,265*0,2</t>
  </si>
  <si>
    <t>7,59*0,265*0,405</t>
  </si>
  <si>
    <t>17,905*(0,085+0,585)*0,265</t>
  </si>
  <si>
    <t>9,23*0,265*0,085</t>
  </si>
  <si>
    <t>8,56*0,375*0,155</t>
  </si>
  <si>
    <t>preklady - dle v.c. K07</t>
  </si>
  <si>
    <t>5,855*0,265*0,655</t>
  </si>
  <si>
    <t>4,475*0,35*0,25</t>
  </si>
  <si>
    <t>dle v.c. K05 - dle v. statika</t>
  </si>
  <si>
    <t>4,75*0,45*0,45</t>
  </si>
  <si>
    <t>11,263*0,375*0,48</t>
  </si>
  <si>
    <t>P1</t>
  </si>
  <si>
    <t>V1</t>
  </si>
  <si>
    <t>5,645*0,325*0,25+5,65*0,375*0,25</t>
  </si>
  <si>
    <t>25,883*0,45*0,35</t>
  </si>
  <si>
    <t>4,744*0,45*0,25</t>
  </si>
  <si>
    <t>V3</t>
  </si>
  <si>
    <t>9,375*0,3*0,25</t>
  </si>
  <si>
    <t>V4</t>
  </si>
  <si>
    <t>11,127*0,375*0,25*2</t>
  </si>
  <si>
    <t>12,103*0,37*0,25</t>
  </si>
  <si>
    <t>1,5*0,45*0,3</t>
  </si>
  <si>
    <t>1,5*0,45*0,25</t>
  </si>
  <si>
    <t>(5,925+6,42+3,28+1,8)*0,3*0,25</t>
  </si>
  <si>
    <t>1,765*0,3*0,28</t>
  </si>
  <si>
    <t>87</t>
  </si>
  <si>
    <t>417351115R00</t>
  </si>
  <si>
    <t>Bednení ztužujících pásu a vencu/trámu a prekladu - zrízení</t>
  </si>
  <si>
    <t>0,7*0,15*2*3+0,37*0,15*2*3+0,55*0,15*2+0,37*0,15*2</t>
  </si>
  <si>
    <t>0,155*9,0*2</t>
  </si>
  <si>
    <t>9,2*2*0,155+1,15*(0,25+0,155)*3*2+2*3*0,265*(0,25-0,155)+0,265*0,155</t>
  </si>
  <si>
    <t>9,385*2*0,155+0,265*0,155</t>
  </si>
  <si>
    <t>(4,6+6,48)*2*0,155</t>
  </si>
  <si>
    <t>(3,35+1,08)*2*0,405</t>
  </si>
  <si>
    <t>(3,1+4,93)*2*0,155</t>
  </si>
  <si>
    <t>11,508*(0,35+0,78*2)</t>
  </si>
  <si>
    <t>17,905*2*0,655</t>
  </si>
  <si>
    <t>17,905*2*0,525</t>
  </si>
  <si>
    <t>12,079*2*0,2</t>
  </si>
  <si>
    <t>7,59*2*0,405</t>
  </si>
  <si>
    <t>17,905*(0,085+0,585)*2</t>
  </si>
  <si>
    <t>9,23*2*0,085</t>
  </si>
  <si>
    <t>(3,365+3,57)*0,2</t>
  </si>
  <si>
    <t>(4,523+4,518+4,512+0,8*12+1,06+1,135+0,8*3+2,4+0,8*3+1,95+1,08+2,9+0,75*3)*0,265</t>
  </si>
  <si>
    <t>8,56*0,155*2</t>
  </si>
  <si>
    <t>11,263*(0,375+0,48)*2</t>
  </si>
  <si>
    <t>5,855*(0,265+2*0,655)</t>
  </si>
  <si>
    <t>5,645*2*0,25+5,65*2*0,25+0,325*0,25+0,375*0,25+5,085*0,325+5,09*0,375</t>
  </si>
  <si>
    <t>4,475*(0,35+0,25*2)</t>
  </si>
  <si>
    <t>11,127*2*0,25*2</t>
  </si>
  <si>
    <t>9,375*2*0,25</t>
  </si>
  <si>
    <t>1,5*2*0,3</t>
  </si>
  <si>
    <t>1,5*2*0,25</t>
  </si>
  <si>
    <t>4,744*2*0,25</t>
  </si>
  <si>
    <t>1,765*2*0,28</t>
  </si>
  <si>
    <t>2,25*0,3*2</t>
  </si>
  <si>
    <t>12,103*2*0,25</t>
  </si>
  <si>
    <t>25,883*2*0,35</t>
  </si>
  <si>
    <t>(5,925+6,42+3,28+1,8)*2*0,25</t>
  </si>
  <si>
    <t>4,75*0,45*2</t>
  </si>
  <si>
    <t>88</t>
  </si>
  <si>
    <t>417351116R00</t>
  </si>
  <si>
    <t>Bednení ztužujících pásu a vencù - odstranení</t>
  </si>
  <si>
    <t>89</t>
  </si>
  <si>
    <t>417361921R00</t>
  </si>
  <si>
    <t>Výztuž ztužujících pásu a vencu svarovanou sítí</t>
  </si>
  <si>
    <t>(0,7*0,37*3+0,55*0,37)*7,903*1,2/1000</t>
  </si>
  <si>
    <t>Kari 8/100</t>
  </si>
  <si>
    <t>(0,45+0,19)*9,0*3,034*1,2/1000</t>
  </si>
  <si>
    <t>Kari 6/150</t>
  </si>
  <si>
    <t>90</t>
  </si>
  <si>
    <t>413351213R00</t>
  </si>
  <si>
    <t>Podperná konstr.nosníku do 4 m - zrízení</t>
  </si>
  <si>
    <t>trámy, vence, preklady</t>
  </si>
  <si>
    <t>dle v. c. K07 - statika - 2.np</t>
  </si>
  <si>
    <t>0,265*5,855+4,475*0,35</t>
  </si>
  <si>
    <t>dle v.c. K05 - statika</t>
  </si>
  <si>
    <t>5,085*0,325+5,09*0,375</t>
  </si>
  <si>
    <t>3,993+2,25*2*0,3</t>
  </si>
  <si>
    <t>11,508*0,35</t>
  </si>
  <si>
    <t>91</t>
  </si>
  <si>
    <t>413351214R00</t>
  </si>
  <si>
    <t>Podperná konstr.nosníku do 4 m - odstranení</t>
  </si>
  <si>
    <t>92</t>
  </si>
  <si>
    <t>411351101RT4</t>
  </si>
  <si>
    <t>Bednení stropu deskových - zrízení</t>
  </si>
  <si>
    <t>systémové, vcetne podeprení, tl. stropu do 25 cm</t>
  </si>
  <si>
    <t>5,925*8,42</t>
  </si>
  <si>
    <t>3,58*1,8</t>
  </si>
  <si>
    <t>4,75*13,475</t>
  </si>
  <si>
    <t>12,972</t>
  </si>
  <si>
    <t>14,195*4,93</t>
  </si>
  <si>
    <t>93</t>
  </si>
  <si>
    <t>411351102R00</t>
  </si>
  <si>
    <t>Bednení stropu deskových - odstranení</t>
  </si>
  <si>
    <t>94</t>
  </si>
  <si>
    <t>417238122R00</t>
  </si>
  <si>
    <t>Obezdívka ztužujícího vence vencovkou, vcetne izolace EPS</t>
  </si>
  <si>
    <t>dle v.c. K05+K04</t>
  </si>
  <si>
    <t>12,103+19,625</t>
  </si>
  <si>
    <t>95</t>
  </si>
  <si>
    <t>417251172R00</t>
  </si>
  <si>
    <t>Obezdení ztužujícího vence vencovkou</t>
  </si>
  <si>
    <t>dle v.c. K05</t>
  </si>
  <si>
    <t>5,645+5,65+29,875</t>
  </si>
  <si>
    <t>Schodište</t>
  </si>
  <si>
    <t>96</t>
  </si>
  <si>
    <t>430320040RAC</t>
  </si>
  <si>
    <t>Schodištová konstrukce ŽB - prefabrikované</t>
  </si>
  <si>
    <t>10_43_</t>
  </si>
  <si>
    <t>dvouram</t>
  </si>
  <si>
    <t>jednoram</t>
  </si>
  <si>
    <t>0,759246*1,205</t>
  </si>
  <si>
    <t>(1,090753+1,147447)*1,4+(0,3*1,55+1,206*0,076)*0,18</t>
  </si>
  <si>
    <t>Zastrešení</t>
  </si>
  <si>
    <t>97</t>
  </si>
  <si>
    <t>050431434RAR</t>
  </si>
  <si>
    <t>Strecha plochá vegetacní</t>
  </si>
  <si>
    <t>10_44_</t>
  </si>
  <si>
    <t>vegetacní nosná vrstva min. tl. 155mm+ vegetace - smes semen a klícku</t>
  </si>
  <si>
    <t>dle v.c. 04+05</t>
  </si>
  <si>
    <t>ST01</t>
  </si>
  <si>
    <t>27,809</t>
  </si>
  <si>
    <t>nad 1.np</t>
  </si>
  <si>
    <t>dle v.c. 05 - hlavní strecha</t>
  </si>
  <si>
    <t>436,26</t>
  </si>
  <si>
    <t>ST02</t>
  </si>
  <si>
    <t>28,965*8,13</t>
  </si>
  <si>
    <t>nad gar. halou</t>
  </si>
  <si>
    <t>4,475*7,07</t>
  </si>
  <si>
    <t>nad samostatnou garáží</t>
  </si>
  <si>
    <t>4,32*2,35</t>
  </si>
  <si>
    <t>nad 1.np - 1.28</t>
  </si>
  <si>
    <t>Podkladní vrstvy komunikací, letišt a ploch</t>
  </si>
  <si>
    <t>98</t>
  </si>
  <si>
    <t>564761111R00</t>
  </si>
  <si>
    <t>Podklad ze šterku tl. 20 cm</t>
  </si>
  <si>
    <t>10_56_</t>
  </si>
  <si>
    <t>SO01_10_5_</t>
  </si>
  <si>
    <t>4,3*17,79</t>
  </si>
  <si>
    <t>pod rampou</t>
  </si>
  <si>
    <t>99</t>
  </si>
  <si>
    <t>564861111R00</t>
  </si>
  <si>
    <t>Povrch ze šterkodrti po zhutnení tlouštky 20 cm</t>
  </si>
  <si>
    <t>Kryty pozemních komunikací, letišt a ploch dláždených (predlažby)</t>
  </si>
  <si>
    <t>100</t>
  </si>
  <si>
    <t>597072102RTR</t>
  </si>
  <si>
    <t>Žlab odvodnovací 100 venk. zpev. ploch, komplet vc. mrížky, napojení, lože (viz pr. c. 1 tz ASR - ASR-C_02)</t>
  </si>
  <si>
    <t>10_59_</t>
  </si>
  <si>
    <t>14,45+11,28+46,4</t>
  </si>
  <si>
    <t>dle v.c. 03+koo sit.</t>
  </si>
  <si>
    <t>101</t>
  </si>
  <si>
    <t>597073102RSR</t>
  </si>
  <si>
    <t>Žlab odvodnovací v garážích,komplet vc. roštu, lože, napojení, atd. (viz pr. c. 1 tz ASR - ASR-C_01b)</t>
  </si>
  <si>
    <t>21,225+3,578*9</t>
  </si>
  <si>
    <t>Omítky ze suchých smesí</t>
  </si>
  <si>
    <t>102</t>
  </si>
  <si>
    <t>602015175R0R</t>
  </si>
  <si>
    <t>Omítka obezdívky krbové vložky, kompletní provedení vc. prípravy podkladu, jádra, výztužné a finální vrstvy - dle popisu v pd (viz v.c. 04)</t>
  </si>
  <si>
    <t>10_60_</t>
  </si>
  <si>
    <t>SO01_10_6_</t>
  </si>
  <si>
    <t>(0,606+0,61)*2*2,7</t>
  </si>
  <si>
    <t>103</t>
  </si>
  <si>
    <t>601011112RT1</t>
  </si>
  <si>
    <t>Omítka na stropech/podhledech jádrová vápenocementová</t>
  </si>
  <si>
    <t>tlouštka vrstvy 10 mm</t>
  </si>
  <si>
    <t>dle tab. m. na v.c. 03+04 - 1.np+2.np</t>
  </si>
  <si>
    <t>899,4+437,4-(682,7+44,2+115)</t>
  </si>
  <si>
    <t>104</t>
  </si>
  <si>
    <t>601011147RT2</t>
  </si>
  <si>
    <t>Sterka na stropech/podhledech hlazená</t>
  </si>
  <si>
    <t>tlouštka vrstvy 3 mm</t>
  </si>
  <si>
    <t>105</t>
  </si>
  <si>
    <t>602011112RT1</t>
  </si>
  <si>
    <t>Omítka na stenách jádrová vápenocementová, rucnì</t>
  </si>
  <si>
    <t>prícky</t>
  </si>
  <si>
    <t>(0,705+0,435*2+4,4)*2,9*2</t>
  </si>
  <si>
    <t>(5,3+2,925+3,375)*2,9*2</t>
  </si>
  <si>
    <t>2,25*1,67*2*2</t>
  </si>
  <si>
    <t>-0,7*2,1*4*2</t>
  </si>
  <si>
    <t>((1,8+3,05)*2,925-0,7*2,1)*2</t>
  </si>
  <si>
    <t>(2,1*6*3,075-0,7*2,1*6)*2</t>
  </si>
  <si>
    <t>((4,0+3,7)*2,7-0,9*2,1*2)*2</t>
  </si>
  <si>
    <t>(4,4+4,4+3,25)*2,9*2</t>
  </si>
  <si>
    <t>((5,3+1,2+3,315+0,7+7,5+1,35+5,34+1,3*2+5,325)*2,9)*2</t>
  </si>
  <si>
    <t>-(0,9*2,1*2+0,7*2,1+0,8*2,1)*2</t>
  </si>
  <si>
    <t>zdivo a beton</t>
  </si>
  <si>
    <t>dle v.c. 03 - 1.np</t>
  </si>
  <si>
    <t>((4,75+4,85+4,15+0,44+11,67+4,0*3+2,25+1,8+1,2)*2,925)*2</t>
  </si>
  <si>
    <t>10,925*1,405+0,375*5,085*2</t>
  </si>
  <si>
    <t>-(0,7*2,1*2+0,9*2,1+0,8*2,1*4)*2</t>
  </si>
  <si>
    <t>0,263*(1,2+2,25*2)+0,3*(1,2+2,25*2)+0,22*(0,75*3+2,405*6)</t>
  </si>
  <si>
    <t>-(1,0*2,25+0,9*2,1+1,205*2,25+0,5*0,5*8)</t>
  </si>
  <si>
    <t>0,45*(1,0+2,25*2)*0,19*(1,205+2,25*2)</t>
  </si>
  <si>
    <t>0,22*(2,35*2+0,905*4)</t>
  </si>
  <si>
    <t>(1,915+1,975+7,2+3,25+4,4)*2*2,9</t>
  </si>
  <si>
    <t>-(1,175*2,25+1,2*2,25*5)</t>
  </si>
  <si>
    <t>0,3*(1,175+2,25*2+1,2*5+2,25*10)</t>
  </si>
  <si>
    <t>(4,18*2+1,2*2+3,0+2,0+3,315+4,7+4,0)*2,9</t>
  </si>
  <si>
    <t>-(4,0*0,905+1,0*2,15)+0,22*(4,0+0,905*2)</t>
  </si>
  <si>
    <t>(5,61+7,65+4,85+4,065+6,225+0,45+11,09+1,4+8,3+1,2+9,79+0,3+0,3+11,1)*2,9</t>
  </si>
  <si>
    <t>-(0,66*0,66+0,8*2,1*3+0,9*2,1*2)</t>
  </si>
  <si>
    <t>0,3*0,66*3</t>
  </si>
  <si>
    <t>4,475*(3,28*2+1,2)-0,9*2,1</t>
  </si>
  <si>
    <t>(5,875+3,7+2,65)*2,7</t>
  </si>
  <si>
    <t>7,65*2,9*2-2,25*1,67*4+(2,65+3,0+7,35+5,34)*2,9</t>
  </si>
  <si>
    <t>-1,0*2,25*2+0,3*(1,0+2,25*2)*2-0,7*2,1*4+0,2*(1,67*4+2,25*2)</t>
  </si>
  <si>
    <t>(3,075+2,4+2,625+1,2+4,6*2)*2,9</t>
  </si>
  <si>
    <t>(5,325*2+4,92*2+2,85*2)*2,765-1,2*2,25+0,3*(1,2+2,25*2)</t>
  </si>
  <si>
    <t>-(1,2*2,395+2,83*2,395+9,31*0,77+1,08*2,395+0,8*2,395*6+2,4*1,0)</t>
  </si>
  <si>
    <t>(4,6+4,7+1,75+3,863+12,51+3,23+1,65+1,85+5,15+3,97+3,73)*2,925</t>
  </si>
  <si>
    <t>0,185*(0,8*6+2,395*12+2,4+1,0*2+1,08+2,395*2+2,83+2,395*2)</t>
  </si>
  <si>
    <t>(13,462*2+4,4)*2,975-(7,15*2,85+1,065*2,85+0,99*2,85+7,24*0,955+4,765*0,955)</t>
  </si>
  <si>
    <t>0,185*(7,15+2,85*2+1,065+2,85*2+0,99+2,85*2+7,24+0,955*2+4,765+0,955*2)</t>
  </si>
  <si>
    <t>(7,3+4,01+3,465+4,4+3,465+5,71+1,25+2,2+3,0)*2,925</t>
  </si>
  <si>
    <t>-(2,3*0,705+1,06*0,705+1,16*0,705+3,57*2,395+3,33*2,395)</t>
  </si>
  <si>
    <t>0,185*(2,3+0,705*2+1,06+0,705*2+1,16+0,705*2+3,57+2,395*2+3,33+2,395*2)</t>
  </si>
  <si>
    <t>(17,64+1,4+1,95+4,9+2,74*6+4,9)*3,075</t>
  </si>
  <si>
    <t>-(4,52*1,0*3+0,8*2,395*12)+0,185*(4,52*3+1,0*6+0,8*12+2,395*24)</t>
  </si>
  <si>
    <t>dle v.c. 04 - 2.np</t>
  </si>
  <si>
    <t>((7,45+3,05+3,05+4,4+3,2)*2,925-(0,8*3+0,7)*2,1)*2</t>
  </si>
  <si>
    <t>0,45*(1,2+2,925*2)</t>
  </si>
  <si>
    <t>0,22*0,5*3*8</t>
  </si>
  <si>
    <t>(5,085+5,09+12,0*4)*6,205-(2,35*0,905*2+0,75*2,405*3+0,95*2,14)</t>
  </si>
  <si>
    <t>(5,95+19,14)*2*2,9</t>
  </si>
  <si>
    <t>(9,099+29,875+9,099+0,55+2,17*2)*4,392-(0,9*2,1*5+4,0*0,905*2)</t>
  </si>
  <si>
    <t>((17,19*2+4,9*5+2,1*2)*3,075-0,8*2,1*9)*2</t>
  </si>
  <si>
    <t>0,22*(4,0+0,905*2)*2</t>
  </si>
  <si>
    <t>106</t>
  </si>
  <si>
    <t>602011147RT2</t>
  </si>
  <si>
    <t>Sterka na stenách hlazená, rucnì</t>
  </si>
  <si>
    <t>-292,05125</t>
  </si>
  <si>
    <t>odpocet ker. obkl.</t>
  </si>
  <si>
    <t>107</t>
  </si>
  <si>
    <t>602015185RT6</t>
  </si>
  <si>
    <t>Silikonsilikátová tenkovrstvá omítka, samocistící probarvená,</t>
  </si>
  <si>
    <t>barva bílá (odstín RAL 9016), zrnitost 1,0 mm + 0,5mm</t>
  </si>
  <si>
    <t>dle v.c. 03-08</t>
  </si>
  <si>
    <t>S1</t>
  </si>
  <si>
    <t>9,385*5,175-(2,35*0,905*2+0,75*2,405*3)</t>
  </si>
  <si>
    <t>(11,1275-9,385)*(3,2-0,415)</t>
  </si>
  <si>
    <t>3,742*13,525-4,0*0,905*3</t>
  </si>
  <si>
    <t>2,495*2,345</t>
  </si>
  <si>
    <t>0,815*3,73</t>
  </si>
  <si>
    <t>2,25*3,2+(4,9+8,82)*4,0</t>
  </si>
  <si>
    <t>6,225*4,0-3,65*3,65</t>
  </si>
  <si>
    <t>5,225*(5,27-3,742)+0,45*(2,3+3,05)+0,375*3,05</t>
  </si>
  <si>
    <t>(9,6+6,85)*4,4</t>
  </si>
  <si>
    <t>16,935*4,285-(1,6*4,285*2+0,5*1,165+0,5*0,5*8)</t>
  </si>
  <si>
    <t>3,902*2,925</t>
  </si>
  <si>
    <t>108</t>
  </si>
  <si>
    <t>602033191R00</t>
  </si>
  <si>
    <t>Penetracní vápenný náter pod tenkovrstvé omítky vnejší</t>
  </si>
  <si>
    <t>109</t>
  </si>
  <si>
    <t>602011119RT1</t>
  </si>
  <si>
    <t>Omítka na stenách tepelne izolacní</t>
  </si>
  <si>
    <t>Úprava povrchu vnejší</t>
  </si>
  <si>
    <t>110</t>
  </si>
  <si>
    <t>622318131RT3</t>
  </si>
  <si>
    <t>Zateplovací systém, PIR desky  80 mm</t>
  </si>
  <si>
    <t>10_62_</t>
  </si>
  <si>
    <t>s omítkou vc. lišt</t>
  </si>
  <si>
    <t>zateplení pruvlaku - m.c. 2.30</t>
  </si>
  <si>
    <t>(0,45+0,155)*2,25</t>
  </si>
  <si>
    <t>111</t>
  </si>
  <si>
    <t>622311736RT3</t>
  </si>
  <si>
    <t>Zatepl.syst., fasáda, miner.desky 180 mm</t>
  </si>
  <si>
    <t>zateplení stropu m.c. 2.30 - dle v.c. 04</t>
  </si>
  <si>
    <t>3,6</t>
  </si>
  <si>
    <t>závetrí - v.c. 03</t>
  </si>
  <si>
    <t>1,2*0,25</t>
  </si>
  <si>
    <t>112</t>
  </si>
  <si>
    <t>622391003R00</t>
  </si>
  <si>
    <t>Príplatek-montáž KZS podhledu,izolant,tenk.om.,náter</t>
  </si>
  <si>
    <t>(0,45)*2,25</t>
  </si>
  <si>
    <t>1,665*1,2</t>
  </si>
  <si>
    <t>zateplení stropu m.c. 1.29 - dle v.c. 03</t>
  </si>
  <si>
    <t>115</t>
  </si>
  <si>
    <t>113</t>
  </si>
  <si>
    <t>622311737RTR</t>
  </si>
  <si>
    <t>Zatepl.syst. miner.desky 280 mm</t>
  </si>
  <si>
    <t>114</t>
  </si>
  <si>
    <t>622311730RT3</t>
  </si>
  <si>
    <t>Zatepl.syst., miner.desky 60 mm</t>
  </si>
  <si>
    <t>622311514R00</t>
  </si>
  <si>
    <t>Izolace suterénu XPS tl. 140 mm, bez PÚ</t>
  </si>
  <si>
    <t>4,053*(13,34*2+6,85+9,6+5,05+1,7)</t>
  </si>
  <si>
    <t>2,109*13,325</t>
  </si>
  <si>
    <t>3,78*(6,225+5,05+8,82+2,645)</t>
  </si>
  <si>
    <t>3,445*(7,45+5,575*2)</t>
  </si>
  <si>
    <t>1,015*(0,45+4,793+1,39)</t>
  </si>
  <si>
    <t>116</t>
  </si>
  <si>
    <t>622311511R00</t>
  </si>
  <si>
    <t>Izolace suterénu XPS tl. 70 mm, bez PÚ</t>
  </si>
  <si>
    <t>1,015*(14,173+12,22+18,385)</t>
  </si>
  <si>
    <t>117</t>
  </si>
  <si>
    <t>622311524RU1</t>
  </si>
  <si>
    <t>Zateplovací systém, sokl, XPS tl. 140 mm</t>
  </si>
  <si>
    <t>0,397*(13,34*2+6,85+9,6+13,325+0,45+4,793+1,39)</t>
  </si>
  <si>
    <t>118</t>
  </si>
  <si>
    <t>622311521RU1</t>
  </si>
  <si>
    <t>Zateplovací systém, sokl, XPS tl. 70 mm</t>
  </si>
  <si>
    <t>0,415*(6,225+5,05+8,82+2,645+14,173+12,22+18,385)</t>
  </si>
  <si>
    <t>dle v. pohledu</t>
  </si>
  <si>
    <t>119</t>
  </si>
  <si>
    <t>622481211RT2</t>
  </si>
  <si>
    <t>Montáž výztužné síte(perlinky)do sterky-vnej.steny</t>
  </si>
  <si>
    <t>vcetne výztužné síte a sterkového tmelu</t>
  </si>
  <si>
    <t>120</t>
  </si>
  <si>
    <t>622311136RT3</t>
  </si>
  <si>
    <t>Zateplovací systém, fasáda, EPS F tl.180 mm</t>
  </si>
  <si>
    <t>(0,45+4,8+1,205)*3,18-(0,95*2,14*2)</t>
  </si>
  <si>
    <t>(0,98+2,2*2)*2*0,185</t>
  </si>
  <si>
    <t>1,21*9,75+1,525*9,23+0,813*9,705+1,004*5,3+1,018*29,28+1,845*0,94</t>
  </si>
  <si>
    <t>0,9*(6,225+8,82)*2</t>
  </si>
  <si>
    <t>0,74*6,225</t>
  </si>
  <si>
    <t>1,045*5,225</t>
  </si>
  <si>
    <t>1,68*(3,28+5,52+5,775)+1,93*(1,65+1,65)+2,3*4,45</t>
  </si>
  <si>
    <t>-(1,26*1,33+2,1*1,33*3+0,67*1,33*2)</t>
  </si>
  <si>
    <t>(17,387+7,4)*3,05-(4,52*1,0*3+3,39*2,395+3,57*2,395)</t>
  </si>
  <si>
    <t>0,9*(9,6+6,85)</t>
  </si>
  <si>
    <t>3,3*17,825*2+5,485*13,23+5,005*2</t>
  </si>
  <si>
    <t>-(0,92*0,85*6+1,935*0,85*2+2,065*2,395+0,8*2,395*18+2,4*1,0+7,15*2,85+1,065*2,85+0,99*2,85)</t>
  </si>
  <si>
    <t>(4,52+2,83)*3,214</t>
  </si>
  <si>
    <t>121</t>
  </si>
  <si>
    <t>622311139RT3</t>
  </si>
  <si>
    <t>Zateplovací systém, fasáda, EPS F tl.250 mm</t>
  </si>
  <si>
    <t>1,05*4,795</t>
  </si>
  <si>
    <t>122</t>
  </si>
  <si>
    <t>622311139RTR</t>
  </si>
  <si>
    <t>Zateplovací systém, fasáda, EPS F tl.290 mm</t>
  </si>
  <si>
    <t>2,734*11,56</t>
  </si>
  <si>
    <t>123</t>
  </si>
  <si>
    <t>622311131RT3</t>
  </si>
  <si>
    <t>Zateplovací systém, fasáda, EPS F tl. 70-80 mm</t>
  </si>
  <si>
    <t>0,595*5,842+4,8*2,48</t>
  </si>
  <si>
    <t>0,647*4,15+0,415*(11,127+13,525)</t>
  </si>
  <si>
    <t>0,81*29,28-(7,24*0,8+4,765*0,8+2,3*0,705+1,06*0,705+1,06*0,705+1,16*0,705)</t>
  </si>
  <si>
    <t>0,5*1,165+0,33*1,25*8</t>
  </si>
  <si>
    <t>4,0*(0,26*2+0,543*2)</t>
  </si>
  <si>
    <t>0,26*2,35*2</t>
  </si>
  <si>
    <t>124</t>
  </si>
  <si>
    <t>622311134RT3</t>
  </si>
  <si>
    <t>Zateplovací systém, fasáda, EPS F tl.140 mm</t>
  </si>
  <si>
    <t>1,45*5,84+0,35*4,05</t>
  </si>
  <si>
    <t>125</t>
  </si>
  <si>
    <t>622311136RTR</t>
  </si>
  <si>
    <t>Zateplovací systém, fasáda, EPS F tl.170 mm</t>
  </si>
  <si>
    <t>30,14*0,905</t>
  </si>
  <si>
    <t>126</t>
  </si>
  <si>
    <t>622318132RT3</t>
  </si>
  <si>
    <t>Zateplovací syst.fasáda,PIR 100 mm</t>
  </si>
  <si>
    <t>12,84*2,445-(9,31*0,77+1,08*2,395)+1,6*4,285*2</t>
  </si>
  <si>
    <t>127</t>
  </si>
  <si>
    <t>622318130RT3</t>
  </si>
  <si>
    <t>Zateplovací syst.fasáda,PIR 60 mm</t>
  </si>
  <si>
    <t>1,004*11,56+1,015*30,14</t>
  </si>
  <si>
    <t>128</t>
  </si>
  <si>
    <t>622318154RT3</t>
  </si>
  <si>
    <t>Zateplovací syst., ostení a nadpraží, PIR 50 mm</t>
  </si>
  <si>
    <t>(5,49+5,263)*0,18</t>
  </si>
  <si>
    <t>0,18*30,28</t>
  </si>
  <si>
    <t>129</t>
  </si>
  <si>
    <t>622318154RTR</t>
  </si>
  <si>
    <t>0,185*(1,08+2,395*2)</t>
  </si>
  <si>
    <t>0,37*(9,31+0,77*2)</t>
  </si>
  <si>
    <t>130</t>
  </si>
  <si>
    <t>622311154RTR</t>
  </si>
  <si>
    <t>Zateplovací syst., ostení a nadpraží, EPS F tl. 70 mm</t>
  </si>
  <si>
    <t>s omítkou vc lišt</t>
  </si>
  <si>
    <t>0,15*(2,35+0,905*2)*2</t>
  </si>
  <si>
    <t>0,15*(0,75+2,405*2)*3</t>
  </si>
  <si>
    <t>0,15*(4,0+0,905*2)*4</t>
  </si>
  <si>
    <t>0,185*(7,24+0,955*2+4,765+0,955*2+2,3*0,705*2+1,06+0,705*2+1,16+0,705*2)</t>
  </si>
  <si>
    <t>0,45*3,65*3+0,15*(5,325+1,0*2)</t>
  </si>
  <si>
    <t>0,185*(1,26+1,33*2+(2,1+1,33*2)*3+(0,67+1,33*2)*2)</t>
  </si>
  <si>
    <t>0,185*((4,52+1,0*2)*3+3,33+3,57+2,395*4)</t>
  </si>
  <si>
    <t>0,185*(1,065+2,395*2+7,15+2,85*2+0,99+2,85*2+0,8*18+2,395*36+2,4+1,0*2)</t>
  </si>
  <si>
    <t>0,185*((0,92+0,85*2)*6+1,935*2+1,615*4)</t>
  </si>
  <si>
    <t>0,15*0,5*3*8</t>
  </si>
  <si>
    <t>131</t>
  </si>
  <si>
    <t>622311564R00</t>
  </si>
  <si>
    <t>Zateplovací systém, parapet, XPS</t>
  </si>
  <si>
    <t>0,15*(2,35*2+0,75*3+4,0*3+0,5*8+5,325)</t>
  </si>
  <si>
    <t>0,185*(7,24+4,765+2,3+1,06+1,16+1,26+2,1*3+0,67*2+4,52*3+0,8*18+2,4+0,92*6+1,935*2)</t>
  </si>
  <si>
    <t>0,37*9,31</t>
  </si>
  <si>
    <t>Podlahy a podlahové konstrukce</t>
  </si>
  <si>
    <t>132</t>
  </si>
  <si>
    <t>632421203RT2</t>
  </si>
  <si>
    <t>Sterka samonivelacní  tl.3 mm</t>
  </si>
  <si>
    <t>10_63_</t>
  </si>
  <si>
    <t>dle tabulky skladeb P01</t>
  </si>
  <si>
    <t>dle tab. m. na  v.c. 03 stav. cásti</t>
  </si>
  <si>
    <t>1.01,02,03,07,10,13,17,22,23,24</t>
  </si>
  <si>
    <t>dle tabulky skladeb P03</t>
  </si>
  <si>
    <t>dle tab. m. na  v.c. 04 stav. cásti</t>
  </si>
  <si>
    <t>1,41*3,2+4,8+20*1,4*0,29</t>
  </si>
  <si>
    <t>2.01 - podesta a mezipodesta+stupne shora</t>
  </si>
  <si>
    <t>41,3+15,3+6,2+13,7+13,7+6,2+13,7+13,7+6,2+13,7+13,7+60,3+32,2+21,5+16+16+21,1+6,0</t>
  </si>
  <si>
    <t>2.02,03,04,06,07,09,11,12,14,16,17,22,23,25,26,27,28,32</t>
  </si>
  <si>
    <t>133</t>
  </si>
  <si>
    <t>632443221R00</t>
  </si>
  <si>
    <t>Poter litý samonivelacní 25, tl. 50 mm</t>
  </si>
  <si>
    <t>1,41*3,2+4,8</t>
  </si>
  <si>
    <t>2.01 - podesta a mezipodesta</t>
  </si>
  <si>
    <t>dle tabulky skladeb P02</t>
  </si>
  <si>
    <t>26,7+15,2+3,6+3,2+3,7+3,2+9,8+23,5+14,8+2,4+3,6+7,3+1,3</t>
  </si>
  <si>
    <t>1.05,06,08,09,11,12,14,15,16,18,19,20,31</t>
  </si>
  <si>
    <t>dle tabulky skladeb P04</t>
  </si>
  <si>
    <t>1,8+3,5+1,6+3,2+1,6+2,9+3,7+6,7+9,2+2,1+4,4+3,6</t>
  </si>
  <si>
    <t>2.05,08,10,13,15,18,19,20,21,24,29,30,31</t>
  </si>
  <si>
    <t>134</t>
  </si>
  <si>
    <t>632443222R00</t>
  </si>
  <si>
    <t>Poter litý samonivelacní 25, prípl. zkd 5 mm</t>
  </si>
  <si>
    <t>dle tabulky skladeb P01 - celk. tl. 70mm</t>
  </si>
  <si>
    <t>dle tabulky skladeb P03 (celk. tl. 60mm)</t>
  </si>
  <si>
    <t>(1,41*3,2+4,8)*2</t>
  </si>
  <si>
    <t>(41,3+15,3+6,2+13,7+13,7+6,2+13,7+13,7+6,2+13,7+13,7+60,3+32,2+21,5+16+16+21,1+6,0)*2</t>
  </si>
  <si>
    <t>dle tabulky skladeb P02 - celk. tl. 62mm</t>
  </si>
  <si>
    <t>(26,7+15,2+3,6+3,2+3,7+3,2+9,8+23,5+14,8+2,4+3,6+7,3+1,3)*3</t>
  </si>
  <si>
    <t>dle tab. m. na  v.c. 04 stav. cásti - celk. tl. 52mm</t>
  </si>
  <si>
    <t>135</t>
  </si>
  <si>
    <t>631315711R00</t>
  </si>
  <si>
    <t>Mazanina betonová tl. 12 - 24 cm C 25/30</t>
  </si>
  <si>
    <t>podkladní deska - dle v.c. 02+03+rezu</t>
  </si>
  <si>
    <t>(966,837+41,55*1,048)*0,12+412,07*0,03</t>
  </si>
  <si>
    <t>prípocty - šikminy, svislice, ztluštení</t>
  </si>
  <si>
    <t>0,3*0,15*(3,9+6,56)*2</t>
  </si>
  <si>
    <t>1.28</t>
  </si>
  <si>
    <t>0,26*0,15*21,244+(0,24-0,228)*30,187*0,15+(0,47-0,407)*11,3625*0,15</t>
  </si>
  <si>
    <t>šikminy (prípocet rozdílu oproti rovine)</t>
  </si>
  <si>
    <t>ztluš. pod stenu mezi 1.27 a garáží</t>
  </si>
  <si>
    <t>0,109*18,123</t>
  </si>
  <si>
    <t>(0,635+0,785)/2*(30,325+6,762)*0,15</t>
  </si>
  <si>
    <t>presah desky 150 na 120</t>
  </si>
  <si>
    <t>vrchní deska tl. 150mm - P01,P02,P06</t>
  </si>
  <si>
    <t>(899,4-(216,2+64,2+61,1*2+7,4))*0,15</t>
  </si>
  <si>
    <t>136</t>
  </si>
  <si>
    <t>631319155R00</t>
  </si>
  <si>
    <t>Príplatek za prehlaz. mazanin tl. 24cm</t>
  </si>
  <si>
    <t>137</t>
  </si>
  <si>
    <t>631319175R00</t>
  </si>
  <si>
    <t>Príplatek za stržení povrchu mazaniny tl. 24 cm</t>
  </si>
  <si>
    <t>138</t>
  </si>
  <si>
    <t>631361921R00</t>
  </si>
  <si>
    <t>Výztuž mazanin svarovanou sítí</t>
  </si>
  <si>
    <t>2,176</t>
  </si>
  <si>
    <t>(966,837+41,55*1,048)*1,2*5,4/1000</t>
  </si>
  <si>
    <t>0,3*(3,9+6,56)*2*1,2*5,4/1000</t>
  </si>
  <si>
    <t>(0,26*21,244+(0,24-0,228)*30,187+(0,47-0,407)*11,3625)*1,2*5,4/1000</t>
  </si>
  <si>
    <t>(0,635+0,785)/2*(30,325+6,762)*5,4*1,2/1000</t>
  </si>
  <si>
    <t>139</t>
  </si>
  <si>
    <t>631351101R00</t>
  </si>
  <si>
    <t>Bednení sten, rýh a otvoru v podlahách - zrízení</t>
  </si>
  <si>
    <t>(196,282+1,048*2)*0,12+108,245*0,03</t>
  </si>
  <si>
    <t>0,3*(3,6+6,26+3,9+6,56)*2</t>
  </si>
  <si>
    <t>140</t>
  </si>
  <si>
    <t>631351102R00</t>
  </si>
  <si>
    <t>Bednení sten, rýh a otvoru v podlahách -odstranení</t>
  </si>
  <si>
    <t>141</t>
  </si>
  <si>
    <t>631315711RTR</t>
  </si>
  <si>
    <t>Leštená prumyslová betonová podlaha s rozptýlenou výztuží</t>
  </si>
  <si>
    <t>Odvozeno od RTS</t>
  </si>
  <si>
    <t>dle tab. m. na v.c. 03</t>
  </si>
  <si>
    <t>P05</t>
  </si>
  <si>
    <t>dle tab. m. na v.c. 04</t>
  </si>
  <si>
    <t>42,2*0,125</t>
  </si>
  <si>
    <t>2.33</t>
  </si>
  <si>
    <t>(216,2+64,2)*((0,15+0,23)/2)</t>
  </si>
  <si>
    <t>1.25+1.26</t>
  </si>
  <si>
    <t>(61,1*2+7,4)*0,12</t>
  </si>
  <si>
    <t>1.21+1.27+1.28</t>
  </si>
  <si>
    <t>P06</t>
  </si>
  <si>
    <t>(115,0+10,0)*0,155</t>
  </si>
  <si>
    <t>1.29+1.30</t>
  </si>
  <si>
    <t>142</t>
  </si>
  <si>
    <t>631319185R00</t>
  </si>
  <si>
    <t>Príplatek za sklon mazaniny  tl.12 - 24 cm</t>
  </si>
  <si>
    <t>143</t>
  </si>
  <si>
    <t>631591115R00</t>
  </si>
  <si>
    <t>Násyp pod podlahy z keramzitu</t>
  </si>
  <si>
    <t>dle v. c. 02+03 a rezu</t>
  </si>
  <si>
    <t>P05 - 1.25+1.26</t>
  </si>
  <si>
    <t>247,234*0,15+0,26*0,15*21,244</t>
  </si>
  <si>
    <t>P05 - 1.27+1.28</t>
  </si>
  <si>
    <t>4,965*11,175*0,265</t>
  </si>
  <si>
    <t>(5,0*11,175-3,9*6,56)*0,265</t>
  </si>
  <si>
    <t>144</t>
  </si>
  <si>
    <t>631571005R00</t>
  </si>
  <si>
    <t>Násyp z kameniva tež. praného fr. 22-32 (kacírku)</t>
  </si>
  <si>
    <t>(7,67*5,075-4,475*7,07)*0,155</t>
  </si>
  <si>
    <t>(4,705*2,75-4,32*2,35)*0,155</t>
  </si>
  <si>
    <t>(37,921-27,809)*0,155</t>
  </si>
  <si>
    <t>(489,393-436,26)*0,155</t>
  </si>
  <si>
    <t>((0,18+0,188)/2)*(29,56*8,73-28,965*8,13)</t>
  </si>
  <si>
    <t>145</t>
  </si>
  <si>
    <t>639571215R0R</t>
  </si>
  <si>
    <t>Kamenivo bílé oblé pro okapový chodník tl. 200-250mm</t>
  </si>
  <si>
    <t>12,9*0,15</t>
  </si>
  <si>
    <t>(1,4325+2,425+2,032+1,3275*6)*0,391</t>
  </si>
  <si>
    <t>0,41+14,222*0,15</t>
  </si>
  <si>
    <t>5,453+3,95+6,473*0,15</t>
  </si>
  <si>
    <t>146</t>
  </si>
  <si>
    <t>632922953RTR</t>
  </si>
  <si>
    <t>Terasa z wpc prken, komplet vc. podklad. roštu, stavit. tercu a podložek</t>
  </si>
  <si>
    <t>ST03</t>
  </si>
  <si>
    <t>72,72</t>
  </si>
  <si>
    <t>Výplne otvoru</t>
  </si>
  <si>
    <t>147</t>
  </si>
  <si>
    <t>648952421RT2</t>
  </si>
  <si>
    <t>Osazení parapetních desek drevených š. do 50 cm</t>
  </si>
  <si>
    <t>10_64_</t>
  </si>
  <si>
    <t>vcetne dodávky parepetní desky š. 26 cm (spárovka severská borovice) vc. povrchové úpravy</t>
  </si>
  <si>
    <t>dle tab. truhl. výrobku</t>
  </si>
  <si>
    <t>3,94*3</t>
  </si>
  <si>
    <t>T1</t>
  </si>
  <si>
    <t>2,29*2</t>
  </si>
  <si>
    <t>T2</t>
  </si>
  <si>
    <t>0,61</t>
  </si>
  <si>
    <t>T3</t>
  </si>
  <si>
    <t>2,04*3</t>
  </si>
  <si>
    <t>T4</t>
  </si>
  <si>
    <t>1,2</t>
  </si>
  <si>
    <t>T5</t>
  </si>
  <si>
    <t>1,24*2</t>
  </si>
  <si>
    <t>T6</t>
  </si>
  <si>
    <t>1,4</t>
  </si>
  <si>
    <t>T7</t>
  </si>
  <si>
    <t>1,875**2</t>
  </si>
  <si>
    <t>T8</t>
  </si>
  <si>
    <t>0,86*6</t>
  </si>
  <si>
    <t>T9</t>
  </si>
  <si>
    <t>0,44*8</t>
  </si>
  <si>
    <t>T10</t>
  </si>
  <si>
    <t>0,69*3</t>
  </si>
  <si>
    <t>T20</t>
  </si>
  <si>
    <t>148</t>
  </si>
  <si>
    <t>648951411RT3</t>
  </si>
  <si>
    <t>Osazení parapetních desek drevených š. do 25 cm</t>
  </si>
  <si>
    <t>vcetne dodávky parepetní desky š. 22 cm (spárovka severská borovice) vc. povrchové úpravy</t>
  </si>
  <si>
    <t>7,175</t>
  </si>
  <si>
    <t>T11</t>
  </si>
  <si>
    <t>4,7</t>
  </si>
  <si>
    <t>T12</t>
  </si>
  <si>
    <t>2,3</t>
  </si>
  <si>
    <t>T13</t>
  </si>
  <si>
    <t>1,0</t>
  </si>
  <si>
    <t>T14</t>
  </si>
  <si>
    <t>1,1</t>
  </si>
  <si>
    <t>T16</t>
  </si>
  <si>
    <t>3,465</t>
  </si>
  <si>
    <t>3,19</t>
  </si>
  <si>
    <t>T17</t>
  </si>
  <si>
    <t>4,46*3</t>
  </si>
  <si>
    <t>T18</t>
  </si>
  <si>
    <t>2,84</t>
  </si>
  <si>
    <t>T19</t>
  </si>
  <si>
    <t>Lešení a stavební výtahy</t>
  </si>
  <si>
    <t>149</t>
  </si>
  <si>
    <t>943943221R00</t>
  </si>
  <si>
    <t>Montáž lešení prostorové lehké, do 200kg, H 10 m</t>
  </si>
  <si>
    <t>10_94_</t>
  </si>
  <si>
    <t>SO01_10_9_</t>
  </si>
  <si>
    <t>(5,085+5,09)*8,56*(5,84-1,8)</t>
  </si>
  <si>
    <t>dle v.c. 03 - m.c. 1.27+1.28 - vysoké místnosti, kde nevyhoví na výšku pomocné lešení</t>
  </si>
  <si>
    <t>150</t>
  </si>
  <si>
    <t>943943292R00</t>
  </si>
  <si>
    <t>Príplatek za každý mesíc použití k pol..3221, 3222</t>
  </si>
  <si>
    <t>151</t>
  </si>
  <si>
    <t>943943821R00</t>
  </si>
  <si>
    <t>Demontáž lešení, prostor. lehké, 200 kPa, H 10 m</t>
  </si>
  <si>
    <t>152</t>
  </si>
  <si>
    <t>941955001R00</t>
  </si>
  <si>
    <t>Lešení lehké pomocné, výška podlahy do 1,2 m</t>
  </si>
  <si>
    <t>61,1*2-(5,085+5,09)*8,56</t>
  </si>
  <si>
    <t>cást 1.27+28</t>
  </si>
  <si>
    <t>1.np+2.np - dle tab.m. na v.c. 03+04</t>
  </si>
  <si>
    <t>899,4+437,4-(61,1*2+280,4+42,2+4,1+18,3)</t>
  </si>
  <si>
    <t>153</t>
  </si>
  <si>
    <t>941955003R00</t>
  </si>
  <si>
    <t>Lešení lehké pomocné, výška podlahy do 2,5 m</t>
  </si>
  <si>
    <t>216,2+64,2</t>
  </si>
  <si>
    <t>1.25+26</t>
  </si>
  <si>
    <t>154</t>
  </si>
  <si>
    <t>941955004R00</t>
  </si>
  <si>
    <t>Lešení lehké pomocné, výška podlahy do 3,5 m</t>
  </si>
  <si>
    <t>42,2</t>
  </si>
  <si>
    <t>155</t>
  </si>
  <si>
    <t>941955102R00</t>
  </si>
  <si>
    <t>Lešení lehké pomocné,schodište, H podlahy do 3,5 m</t>
  </si>
  <si>
    <t>dle tab. m. na v.c. 03+04</t>
  </si>
  <si>
    <t>4,1+18,3</t>
  </si>
  <si>
    <t>156</t>
  </si>
  <si>
    <t>941941031R00</t>
  </si>
  <si>
    <t>Montáž lešení leh.rad.s podlahami,š.do 1 m, H 10 m</t>
  </si>
  <si>
    <t>dle v. pohledu a rezu</t>
  </si>
  <si>
    <t>21,884+42*6,8+2,2*30,175+1,0*6,8*2+199,075+43,9+105,454+8,82*5,31+4,6*6,75+13,025*4,05</t>
  </si>
  <si>
    <t>201,536+3,34*5,36+1,0*5,36*2+37,233+6,4*5,36+3,655*17,64*2</t>
  </si>
  <si>
    <t>157</t>
  </si>
  <si>
    <t>941941111R00</t>
  </si>
  <si>
    <t>Pronájem lešení za den</t>
  </si>
  <si>
    <t>1297,17725*122</t>
  </si>
  <si>
    <t>158</t>
  </si>
  <si>
    <t>941941831R00</t>
  </si>
  <si>
    <t>Demontáž lešení leh.rad.s podlahami,š.1 m, H 10 m</t>
  </si>
  <si>
    <t>Ruzné dokoncovací konstrukce a práce na pozemních stavbách</t>
  </si>
  <si>
    <t>159</t>
  </si>
  <si>
    <t>952901111R00</t>
  </si>
  <si>
    <t>Vycištení budov o výšce podlaží do 4 m</t>
  </si>
  <si>
    <t>10_95_</t>
  </si>
  <si>
    <t>dle v.c. 03+04</t>
  </si>
  <si>
    <t>675,972+487,022</t>
  </si>
  <si>
    <t>plocha vcad</t>
  </si>
  <si>
    <t>160</t>
  </si>
  <si>
    <t>952901114R00</t>
  </si>
  <si>
    <t>Vycištení budov o výšce podlaží nad 4 m</t>
  </si>
  <si>
    <t>401,221+6,225*8,82</t>
  </si>
  <si>
    <t>plocha v cad</t>
  </si>
  <si>
    <t>161</t>
  </si>
  <si>
    <t>952901199R00</t>
  </si>
  <si>
    <t>Požární ucpávky, komplet - dle PBR</t>
  </si>
  <si>
    <t>soubor</t>
  </si>
  <si>
    <t>mimo uvedených v jednotlivých prof. cástech</t>
  </si>
  <si>
    <t>Demolice</t>
  </si>
  <si>
    <t>162</t>
  </si>
  <si>
    <t>979990181R00</t>
  </si>
  <si>
    <t>Poplatek za uložení suti - PVC podlahová krytina, skupina odpadu 200307</t>
  </si>
  <si>
    <t>10_98_</t>
  </si>
  <si>
    <t>163</t>
  </si>
  <si>
    <t>979990182R00</t>
  </si>
  <si>
    <t>Poplatek za uložení suti - koberce, skupina odpadu 200307</t>
  </si>
  <si>
    <t>164</t>
  </si>
  <si>
    <t>979990161R00</t>
  </si>
  <si>
    <t>Poplatek za uložení - drevo, skupina odpadu 170201</t>
  </si>
  <si>
    <t>165</t>
  </si>
  <si>
    <t>998981123R00</t>
  </si>
  <si>
    <t>Presun hmot demolice postup. rozebíráním v. do 21 m</t>
  </si>
  <si>
    <t>Presun hmot</t>
  </si>
  <si>
    <t>166</t>
  </si>
  <si>
    <t>998011002R00</t>
  </si>
  <si>
    <t>Presun hmot pro budovy zdené výšky do 12 m</t>
  </si>
  <si>
    <t>10_99_</t>
  </si>
  <si>
    <t>PSV</t>
  </si>
  <si>
    <t>711</t>
  </si>
  <si>
    <t>Izolace proti vode</t>
  </si>
  <si>
    <t>167</t>
  </si>
  <si>
    <t>711191172RT2</t>
  </si>
  <si>
    <t>Provedení izolace proti vlhkosti na ploše vodorovné, ochrannou textilií</t>
  </si>
  <si>
    <t>50_711_</t>
  </si>
  <si>
    <t>SO01_50_71_</t>
  </si>
  <si>
    <t>vcetne dodávky textílie</t>
  </si>
  <si>
    <t>podlahy 1.np - dle tab. m. v.c. 03</t>
  </si>
  <si>
    <t>899,4</t>
  </si>
  <si>
    <t>P05 - dle v.c. 02+03 - pod a nad keramzit</t>
  </si>
  <si>
    <t>247,234+0,26*21,244+4,9625*11,175+5,0*11,175-3,9*6,56</t>
  </si>
  <si>
    <t>168</t>
  </si>
  <si>
    <t>711111001RZ1</t>
  </si>
  <si>
    <t>Provedení izolace proti vlhkosti na ploše vodorovné, 1x asfaltovým penetracním náterem</t>
  </si>
  <si>
    <t>vcetne dodávky asfaltového penetracního náteru</t>
  </si>
  <si>
    <t>(966,837+41,55*1,048)</t>
  </si>
  <si>
    <t>0,3*(3,9+6,56)*2</t>
  </si>
  <si>
    <t>(0,26*21,244+(0,24-0,228)*30,187+(0,47-0,407)*11,3625)</t>
  </si>
  <si>
    <t>(0,635+0,785)/2*(30,325+6,762)</t>
  </si>
  <si>
    <t>169</t>
  </si>
  <si>
    <t>711141559RT2</t>
  </si>
  <si>
    <t>Provedení izolace proti vlhkosti na ploše vodorovné, asfaltovými pásy pritavením</t>
  </si>
  <si>
    <t>2 vrstvy - pásy ve specifikaci</t>
  </si>
  <si>
    <t>170</t>
  </si>
  <si>
    <t>62852355</t>
  </si>
  <si>
    <t>Pás asfaltový modifikovaný se sklen. tkaninou, natavovací, kotvicí</t>
  </si>
  <si>
    <t>1049,59069</t>
  </si>
  <si>
    <t>;ztratné 15%; 157,4386035</t>
  </si>
  <si>
    <t>171</t>
  </si>
  <si>
    <t>62857040</t>
  </si>
  <si>
    <t>Pás asfaltový modifikovaný s polyest. rohoží, natavovací</t>
  </si>
  <si>
    <t>172</t>
  </si>
  <si>
    <t>711210020RA0</t>
  </si>
  <si>
    <t>Sterka hydroizolacní tesnicí hmotou</t>
  </si>
  <si>
    <t>komplet vc. bandáží</t>
  </si>
  <si>
    <t>(3,075+1,2)*2*0,3-0,7*0,3+(0,9*2+1,2)*1,9+3,6</t>
  </si>
  <si>
    <t>1.08</t>
  </si>
  <si>
    <t>(3,05+1,2)*2*0,3-0,7*0,3+(0,9*2+1,2)*1,9+3,7</t>
  </si>
  <si>
    <t>1.11</t>
  </si>
  <si>
    <t>(3,0+1,2)*2*0,3-0,7*0,3+(0,9*2+1,2)*1,9+3,6</t>
  </si>
  <si>
    <t>1.19</t>
  </si>
  <si>
    <t>(1,62+2,1)*2*0,3-0,7*0,3+0,9*2*1,9+3,5</t>
  </si>
  <si>
    <t>2.08</t>
  </si>
  <si>
    <t>(2,1+1,62)*2*0,3-0,7*0,3+0,9*2*1,9+3,2</t>
  </si>
  <si>
    <t>2.13</t>
  </si>
  <si>
    <t>(1,47+1,93)*2*0,3-0,7*0,3+0,9*2*1,9+2,9</t>
  </si>
  <si>
    <t>2.18</t>
  </si>
  <si>
    <t>(2,115+2,1)*2*0,3-0,7*0,3+0,9*2*1,9+4,4</t>
  </si>
  <si>
    <t>2.29</t>
  </si>
  <si>
    <t>173</t>
  </si>
  <si>
    <t>711823111RTR</t>
  </si>
  <si>
    <t>Položení drenážního prvku strechy</t>
  </si>
  <si>
    <t>vcetne dodávky drenážního prvku 40mm</t>
  </si>
  <si>
    <t>7,92*5,325</t>
  </si>
  <si>
    <t>13,88</t>
  </si>
  <si>
    <t>40,29</t>
  </si>
  <si>
    <t>510,663</t>
  </si>
  <si>
    <t>29,875*8,925</t>
  </si>
  <si>
    <t>174</t>
  </si>
  <si>
    <t>711409111R00</t>
  </si>
  <si>
    <t>Montáž rohože na sucho</t>
  </si>
  <si>
    <t>175</t>
  </si>
  <si>
    <t>67350010R</t>
  </si>
  <si>
    <t>Ochranná rohož 4mm</t>
  </si>
  <si>
    <t>873,64137</t>
  </si>
  <si>
    <t>;ztratné 15%; 131,0462055</t>
  </si>
  <si>
    <t>176</t>
  </si>
  <si>
    <t>711112131RZ2</t>
  </si>
  <si>
    <t>Provedení izolace proti vlhkosti na ploše svislé, 1x náterem modifikovaným asfaltovým lakem</t>
  </si>
  <si>
    <t>vcetne dodávky asfaltového penetracího náteru</t>
  </si>
  <si>
    <t>2,445*(7,45+5,575*2)</t>
  </si>
  <si>
    <t>0,397*(13,34*2+6,85+9,6+13,325)</t>
  </si>
  <si>
    <t>1,1*41,7</t>
  </si>
  <si>
    <t>177</t>
  </si>
  <si>
    <t>178</t>
  </si>
  <si>
    <t>510,18505</t>
  </si>
  <si>
    <t>;ztratné 20%; 102,03701</t>
  </si>
  <si>
    <t>179</t>
  </si>
  <si>
    <t>180</t>
  </si>
  <si>
    <t>711823121RT6</t>
  </si>
  <si>
    <t>Montáž nopové fólie svisle</t>
  </si>
  <si>
    <t>vcetne dodávky fólie a lišty</t>
  </si>
  <si>
    <t>711191272RT2</t>
  </si>
  <si>
    <t>Provedení izolace proti vlhkosti na ploše svislé, ochrannou textilií</t>
  </si>
  <si>
    <t>182</t>
  </si>
  <si>
    <t>711401132R00</t>
  </si>
  <si>
    <t>Svahová rohož</t>
  </si>
  <si>
    <t>2,8*13,025</t>
  </si>
  <si>
    <t>dle rezu A</t>
  </si>
  <si>
    <t>183</t>
  </si>
  <si>
    <t>998711202R00</t>
  </si>
  <si>
    <t>Presun hmot pro izolace proti vode, výšky do 12 m</t>
  </si>
  <si>
    <t>%</t>
  </si>
  <si>
    <t>712</t>
  </si>
  <si>
    <t>Izolace strech (živicné krytiny)</t>
  </si>
  <si>
    <t>184</t>
  </si>
  <si>
    <t>712391172RZ7</t>
  </si>
  <si>
    <t>Provedení povlakové krytiny strech do 10°, ochranná textilií</t>
  </si>
  <si>
    <t>50_712_</t>
  </si>
  <si>
    <t>1 vrstva - vcetne dodávky textilie - vlies 125g/m2</t>
  </si>
  <si>
    <t>185</t>
  </si>
  <si>
    <t>712311101RZ1</t>
  </si>
  <si>
    <t>Provedení povlakové krytiny strech do 10°, asfaltovým penetracním náterem</t>
  </si>
  <si>
    <t>1x náter - vcetne dodávky asfaltového penetracního náteru</t>
  </si>
  <si>
    <t>186</t>
  </si>
  <si>
    <t>712341559R00</t>
  </si>
  <si>
    <t>Provedení povlakové krytiny strech do 10°, asfaltovými pásy, pritavení celoplošne</t>
  </si>
  <si>
    <t>187</t>
  </si>
  <si>
    <t>628522691</t>
  </si>
  <si>
    <t>Pás asfaltový modifikovaný hliník a skelná rohož, natavovací 4,2mm</t>
  </si>
  <si>
    <t>946,36137</t>
  </si>
  <si>
    <t>;ztratné 15%; 141,9542055</t>
  </si>
  <si>
    <t>188</t>
  </si>
  <si>
    <t>712351111RT2</t>
  </si>
  <si>
    <t>Provedení povlakové krytiny strech do 10°, samolepicími asfaltovými pásy</t>
  </si>
  <si>
    <t>vcetne dodávky asfaltového pásu</t>
  </si>
  <si>
    <t>450,38774</t>
  </si>
  <si>
    <t>vytažení na steny</t>
  </si>
  <si>
    <t>189</t>
  </si>
  <si>
    <t>712341559RZ5</t>
  </si>
  <si>
    <t>1 vrstva - vcetne dod. sbs pásu se sklen. vložkou 5,2mm</t>
  </si>
  <si>
    <t>190</t>
  </si>
  <si>
    <t>712391171RZ5</t>
  </si>
  <si>
    <t>Provedení povlakové krytiny støech do 10°, podkladní</t>
  </si>
  <si>
    <t>1 vrstva - vcetne dodávky netkané sklenené rohože</t>
  </si>
  <si>
    <t>191</t>
  </si>
  <si>
    <t>712378004R0R</t>
  </si>
  <si>
    <t>Povlaková krytina strech do 10° - plastová obruba k oddelení substrátu a kacírku</t>
  </si>
  <si>
    <t>4,475*+7,07*2</t>
  </si>
  <si>
    <t>4,32*2+2,35*2</t>
  </si>
  <si>
    <t>7,225*2+3,275*2+12,39*2</t>
  </si>
  <si>
    <t>175,91</t>
  </si>
  <si>
    <t>28,965*2+8,13*2</t>
  </si>
  <si>
    <t>192</t>
  </si>
  <si>
    <t>712371801RZ5</t>
  </si>
  <si>
    <t>Provedení povlakové krytiny støech do 10°, fólií PVC</t>
  </si>
  <si>
    <t>1 vrstva - vcetne dodávky fólie se sklen. vložkou 1,8mm</t>
  </si>
  <si>
    <t>193</t>
  </si>
  <si>
    <t>712811101RZ1</t>
  </si>
  <si>
    <t>Provedení povlakové krytiny strech, samostatné vytažení povlaku, asfaltový penetracní náter</t>
  </si>
  <si>
    <t>0,595*(7,92+5,325)*2</t>
  </si>
  <si>
    <t>0,575*(7,92+6,225)*2</t>
  </si>
  <si>
    <t>0,77*(12,925+7,775+0,195+3,92+3,73)</t>
  </si>
  <si>
    <t>0,761*(4,785+0,185)</t>
  </si>
  <si>
    <t>0,48*2,804</t>
  </si>
  <si>
    <t>490*0,47+593,76-489,6393</t>
  </si>
  <si>
    <t>0,588*(9,12+30,255)</t>
  </si>
  <si>
    <t>0,35*(8,95+29,875)</t>
  </si>
  <si>
    <t>9,23*0,575+29,565*0,5</t>
  </si>
  <si>
    <t>0,376*(4,835*2+13,25)</t>
  </si>
  <si>
    <t>194</t>
  </si>
  <si>
    <t>712841559R00</t>
  </si>
  <si>
    <t>Provedení povlakové krytiny strech, samostatné vytažení povlaku, asfaltové pásy pritavením</t>
  </si>
  <si>
    <t>195</t>
  </si>
  <si>
    <t>459,00566</t>
  </si>
  <si>
    <t>;ztratné 20%; 91,801132</t>
  </si>
  <si>
    <t>196</t>
  </si>
  <si>
    <t>712841559RZR</t>
  </si>
  <si>
    <t>Provedení povlakové krytiny støech, samostatné vytažení povlaku, asfaltové pásy pritavením</t>
  </si>
  <si>
    <t>197</t>
  </si>
  <si>
    <t>712871801RZ5</t>
  </si>
  <si>
    <t>Provedení povlakové krytiny strech, samostatné vytažení povlaku, fólie</t>
  </si>
  <si>
    <t>198</t>
  </si>
  <si>
    <t>998712202R00</t>
  </si>
  <si>
    <t>Presun hmot pro povlakové krytiny, výšky do 12 m</t>
  </si>
  <si>
    <t>713</t>
  </si>
  <si>
    <t>Izolace tepelné</t>
  </si>
  <si>
    <t>199</t>
  </si>
  <si>
    <t>713131131R00</t>
  </si>
  <si>
    <t>Montáž tepelné izolace sten</t>
  </si>
  <si>
    <t>50_713_</t>
  </si>
  <si>
    <t>izolace vložená mezi obv. zdivo a akustické zdivo</t>
  </si>
  <si>
    <t>(3,325*2+4,0)*2,7-0,9*2,1</t>
  </si>
  <si>
    <t>200</t>
  </si>
  <si>
    <t>63151402</t>
  </si>
  <si>
    <t>Deska z minerální plsti tl. 60 mm</t>
  </si>
  <si>
    <t>26,865</t>
  </si>
  <si>
    <t>;ztratné 2%; 0,5373</t>
  </si>
  <si>
    <t>201</t>
  </si>
  <si>
    <t>713191100RT9</t>
  </si>
  <si>
    <t>Položení separacní fólie</t>
  </si>
  <si>
    <t>vcetne dodávky PE fólie</t>
  </si>
  <si>
    <t>115+10,0</t>
  </si>
  <si>
    <t>dle tabulky skladeb P06 - 1.29+1.30</t>
  </si>
  <si>
    <t>dle tab.m. na v.c. 04</t>
  </si>
  <si>
    <t>dle tabulky skladeb P07 - 2.33</t>
  </si>
  <si>
    <t>202</t>
  </si>
  <si>
    <t>713121111R00</t>
  </si>
  <si>
    <t>Montáž tepelné izolace podlah na sucho, jednovrstvá</t>
  </si>
  <si>
    <t>203</t>
  </si>
  <si>
    <t>713121121R00</t>
  </si>
  <si>
    <t>Montáž tepelné izolace podlah na sucho, dvouvrstvá</t>
  </si>
  <si>
    <t>204</t>
  </si>
  <si>
    <t>63141254</t>
  </si>
  <si>
    <t>Deska podlahová z kamenné vlny PTE tl. 60 mm</t>
  </si>
  <si>
    <t>;ztratné 2%; 7,68224</t>
  </si>
  <si>
    <t>205</t>
  </si>
  <si>
    <t>63141267</t>
  </si>
  <si>
    <t>Deska podlahová PTN,PTE,PTS tl. 80 mm</t>
  </si>
  <si>
    <t>dle tabulky skladeb P01 - celk. tl 160mm</t>
  </si>
  <si>
    <t>(26,7+15,2+3,6+3,2+3,7+3,2+9,8+23,5+14,8+2,4+3,6+7,3+1,3)*2</t>
  </si>
  <si>
    <t>206</t>
  </si>
  <si>
    <t>dle tabulky skladeb P06</t>
  </si>
  <si>
    <t>207</t>
  </si>
  <si>
    <t>28376333</t>
  </si>
  <si>
    <t>Deska XPS hladká s polodrážkou tl. 80 x 600 x 1250 mm zelená</t>
  </si>
  <si>
    <t>;ztratné 2%; 2,5</t>
  </si>
  <si>
    <t>208</t>
  </si>
  <si>
    <t>283763351</t>
  </si>
  <si>
    <t>Deska XPS hladká s polodrážkou tl. 120 x 600 x 1250 mm zelená</t>
  </si>
  <si>
    <t>;ztratné 2%; 0,844</t>
  </si>
  <si>
    <t>209</t>
  </si>
  <si>
    <t>713141125R00</t>
  </si>
  <si>
    <t>Montáž tepelné izolace strech, na lepidlo</t>
  </si>
  <si>
    <t>první vrstva</t>
  </si>
  <si>
    <t>ST01 - 200mm</t>
  </si>
  <si>
    <t>ST02 - 140mm</t>
  </si>
  <si>
    <t>210</t>
  </si>
  <si>
    <t>28375705</t>
  </si>
  <si>
    <t>Deska izolacní stabilizovaná EPS 150 1000 x 500 mm</t>
  </si>
  <si>
    <t>7,92*5,325*0,2</t>
  </si>
  <si>
    <t>13,88*0,2</t>
  </si>
  <si>
    <t>40,29*0,2</t>
  </si>
  <si>
    <t>510,663*0,2</t>
  </si>
  <si>
    <t>29,875*8,925*0,14</t>
  </si>
  <si>
    <t>72,72*0,16</t>
  </si>
  <si>
    <t>;ztratné 2%; 3,4073082</t>
  </si>
  <si>
    <t>211</t>
  </si>
  <si>
    <t>Montáž tepelné izolace strech, na lepidlo , desky</t>
  </si>
  <si>
    <t>spádová vrstva - predpoklad max. dve vrstvy</t>
  </si>
  <si>
    <t>873,64137*2</t>
  </si>
  <si>
    <t>ST01+ST02</t>
  </si>
  <si>
    <t>72,72*2</t>
  </si>
  <si>
    <t>212</t>
  </si>
  <si>
    <t>28375972</t>
  </si>
  <si>
    <t>Deska spádová EPS 150</t>
  </si>
  <si>
    <t>72,72*((0,02+0,12)/2)*1,02</t>
  </si>
  <si>
    <t>873,64137*((0,02+0,16)/2)*1,02</t>
  </si>
  <si>
    <t>213</t>
  </si>
  <si>
    <t>713121211RT4</t>
  </si>
  <si>
    <t>Montáž tepelné izolace atiky shora, 1 vrstva</t>
  </si>
  <si>
    <t>vcetne dodávky spádových klínu xps</t>
  </si>
  <si>
    <t>593,76-489,393</t>
  </si>
  <si>
    <t>0,575*9,23+0,5*29,565</t>
  </si>
  <si>
    <t>214</t>
  </si>
  <si>
    <t>Montáž tepelné izolace sten lepením</t>
  </si>
  <si>
    <t>vytažení izolací na atiky a steny - strechy</t>
  </si>
  <si>
    <t>XPS 120</t>
  </si>
  <si>
    <t>490*0,47</t>
  </si>
  <si>
    <t>XPS 70</t>
  </si>
  <si>
    <t>0,588*(9,12+30,255)+0,35*(8,95+29,875)</t>
  </si>
  <si>
    <t>XPS 180</t>
  </si>
  <si>
    <t>215</t>
  </si>
  <si>
    <t>28375448</t>
  </si>
  <si>
    <t>Deska XPS</t>
  </si>
  <si>
    <t>0,595*(7,92+5,325)*2*0,12*1,02</t>
  </si>
  <si>
    <t>490*0,47*0,12*1,02</t>
  </si>
  <si>
    <t>0,761*(4,785+0,185)*0,07*1,02</t>
  </si>
  <si>
    <t>0,48*2,804*0,07*1,02</t>
  </si>
  <si>
    <t>(0,588*(9,12+30,255)+0,35*(8,95+29,875))*0,07*1,02</t>
  </si>
  <si>
    <t>0,77*(12,925+7,775+0,195+3,92+3,73)*0,18*1,02</t>
  </si>
  <si>
    <t>0,376*(4,835*2+13,25)*0,18*1,02</t>
  </si>
  <si>
    <t>216</t>
  </si>
  <si>
    <t>713121118RU1</t>
  </si>
  <si>
    <t>Montáž dilatacního pásku podél sten</t>
  </si>
  <si>
    <t>vcetne dodávky</t>
  </si>
  <si>
    <t>(3,075+1,2)*2</t>
  </si>
  <si>
    <t>(2,625+1,2)*2</t>
  </si>
  <si>
    <t>(3,05+1,2)*2</t>
  </si>
  <si>
    <t>(2,65+1,2)*2</t>
  </si>
  <si>
    <t>(2,0+1,2)*2</t>
  </si>
  <si>
    <t>(3,0+1,2)*2</t>
  </si>
  <si>
    <t>(5,085+11,7225*2)+0,205</t>
  </si>
  <si>
    <t>(1,05+1,05)</t>
  </si>
  <si>
    <t>(0,55*2+1,165)</t>
  </si>
  <si>
    <t>(1,95+1,0)*2</t>
  </si>
  <si>
    <t>(1,62+2,1)*2</t>
  </si>
  <si>
    <t>(1,8+0,995)*2</t>
  </si>
  <si>
    <t>(2,1+1,62)*2</t>
  </si>
  <si>
    <t>(1,75+0,995)*2</t>
  </si>
  <si>
    <t>(1,47+1,93)*2</t>
  </si>
  <si>
    <t>(1,2+1,75)*2</t>
  </si>
  <si>
    <t>(2,115+2,1)*2</t>
  </si>
  <si>
    <t>480,051+126,035</t>
  </si>
  <si>
    <t>217</t>
  </si>
  <si>
    <t>998713202R00</t>
  </si>
  <si>
    <t>Presun hmot pro izolace tepelné, výšky do 12 m</t>
  </si>
  <si>
    <t>728_1</t>
  </si>
  <si>
    <t>Zarízení c.1 – Vetrání šaten a hygienických prostor,úklidových komor M+D</t>
  </si>
  <si>
    <t>218</t>
  </si>
  <si>
    <t>728000000R01</t>
  </si>
  <si>
    <t>Ventilátor 400x200/500 950m3/h pri 200Pa 504W,230V,0,9A pripojit elektro, ovládání na vypínac</t>
  </si>
  <si>
    <t>RTS I / 2023</t>
  </si>
  <si>
    <t>50_728_1_</t>
  </si>
  <si>
    <t>SO01_50_72_</t>
  </si>
  <si>
    <t>219</t>
  </si>
  <si>
    <t>728000000R02</t>
  </si>
  <si>
    <t>Pružná vložka 400x200</t>
  </si>
  <si>
    <t>220</t>
  </si>
  <si>
    <t>728000000R03</t>
  </si>
  <si>
    <t>Ventilátor s casovým dobehem radiální na stenu 80m3/h pri 40Pa 28W,230V pripojit elektro, ovládání na vypínac</t>
  </si>
  <si>
    <t>221</t>
  </si>
  <si>
    <t>728000000R04</t>
  </si>
  <si>
    <t>Talírový ventil prum.200 odsávací</t>
  </si>
  <si>
    <t>222</t>
  </si>
  <si>
    <t>728000000R05</t>
  </si>
  <si>
    <t>Talírový ventil prum.125 odsávací</t>
  </si>
  <si>
    <t>223</t>
  </si>
  <si>
    <t>728000000R06</t>
  </si>
  <si>
    <t>Tlumic hluku 400x200/1000</t>
  </si>
  <si>
    <t>224</t>
  </si>
  <si>
    <t>728000000R07</t>
  </si>
  <si>
    <t>Protideštová žaluzie 400x200 se samocinnou klapkou</t>
  </si>
  <si>
    <t>225</t>
  </si>
  <si>
    <t>728000000R08</t>
  </si>
  <si>
    <t>Ohebná hadice prum.200 s hlukove tlumicím úcinkem</t>
  </si>
  <si>
    <t>bm</t>
  </si>
  <si>
    <t>226</t>
  </si>
  <si>
    <t>728000000R09</t>
  </si>
  <si>
    <t>Ohebná hadice prum.125 s hlukove tlumicím úcinkem</t>
  </si>
  <si>
    <t>227</t>
  </si>
  <si>
    <t>728000000R10</t>
  </si>
  <si>
    <t>Regulacní klapka prum.200 rucní</t>
  </si>
  <si>
    <t>228</t>
  </si>
  <si>
    <t>728000000R11</t>
  </si>
  <si>
    <t>Regulacní klapka prum.125 rucní</t>
  </si>
  <si>
    <t>229</t>
  </si>
  <si>
    <t>728000000R12</t>
  </si>
  <si>
    <t>Vyústka 200x100 jednoradá</t>
  </si>
  <si>
    <t>230</t>
  </si>
  <si>
    <t>728000000R13</t>
  </si>
  <si>
    <t>Žaluziová klapka samotížná prum.100</t>
  </si>
  <si>
    <t>231</t>
  </si>
  <si>
    <t>728000000R14</t>
  </si>
  <si>
    <t>Spiro potrubí prum.200</t>
  </si>
  <si>
    <t>232</t>
  </si>
  <si>
    <t>728000000R15</t>
  </si>
  <si>
    <t>Spiro potrubí prum.125</t>
  </si>
  <si>
    <t>233</t>
  </si>
  <si>
    <t>728000000R16</t>
  </si>
  <si>
    <t>Spiro potrubí prum.100</t>
  </si>
  <si>
    <t>234</t>
  </si>
  <si>
    <t>728000000R17</t>
  </si>
  <si>
    <t>Stríška prum.100</t>
  </si>
  <si>
    <t>235</t>
  </si>
  <si>
    <t>728000000R18</t>
  </si>
  <si>
    <t>VZT potrubí 400x200 20% tvarovek</t>
  </si>
  <si>
    <t>236</t>
  </si>
  <si>
    <t>728000000R19</t>
  </si>
  <si>
    <t>Tepelná izolace tl. 25mm izolovat potrubí prostupující fasádou a stoupacky nad strechu</t>
  </si>
  <si>
    <t>237</t>
  </si>
  <si>
    <t>728000000R20</t>
  </si>
  <si>
    <t>T-kus</t>
  </si>
  <si>
    <t>238</t>
  </si>
  <si>
    <t>728000000R21</t>
  </si>
  <si>
    <t>Závesový, tesnící a spojovací materiál</t>
  </si>
  <si>
    <t>728_2</t>
  </si>
  <si>
    <t>Zarízení c.2 – Vetrání prádelny, sušárny, dekontamin., skladuM+D</t>
  </si>
  <si>
    <t>239</t>
  </si>
  <si>
    <t>728000000R22</t>
  </si>
  <si>
    <t>Ventilátor s casovým dobehem prum.160 100m3/h pri 170Pa 53W,230V,0,21A pripojit elektro, ovládání na vypínac</t>
  </si>
  <si>
    <t>50_728_2_</t>
  </si>
  <si>
    <t>240</t>
  </si>
  <si>
    <t>728000000R23</t>
  </si>
  <si>
    <t>Ventilátor s casovým dobehem radiální na stenu prum.125 70m3/h pri 120Pa 26W,230V,0,11A pripojit elektro, ovládání na vypínac</t>
  </si>
  <si>
    <t>241</t>
  </si>
  <si>
    <t>728000000R24</t>
  </si>
  <si>
    <t>Ventilátor s casovým dobehem 150m3/h pri 150Pa 68W,230V pripojit elektro, ovládání na vypínac</t>
  </si>
  <si>
    <t>242</t>
  </si>
  <si>
    <t>728000000R25</t>
  </si>
  <si>
    <t>243</t>
  </si>
  <si>
    <t>728000000R26</t>
  </si>
  <si>
    <t>Talírový ventil prum.160 odsávací</t>
  </si>
  <si>
    <t>244</t>
  </si>
  <si>
    <t>728000000R27</t>
  </si>
  <si>
    <t>245</t>
  </si>
  <si>
    <t>728000000R28</t>
  </si>
  <si>
    <t>Protideštová žaluzie 400x200 se sítem a pozedním rámem</t>
  </si>
  <si>
    <t>246</t>
  </si>
  <si>
    <t>728000000R29</t>
  </si>
  <si>
    <t>Ohebná hadice prum.160 s hlukove tlumicím úcinkem</t>
  </si>
  <si>
    <t>247</t>
  </si>
  <si>
    <t>728000000R30</t>
  </si>
  <si>
    <t>248</t>
  </si>
  <si>
    <t>728000000R31</t>
  </si>
  <si>
    <t>Zpetná klapka prum.160 samociná</t>
  </si>
  <si>
    <t>249</t>
  </si>
  <si>
    <t>728000000R32</t>
  </si>
  <si>
    <t>Zpetná klapka prum.125 samociná</t>
  </si>
  <si>
    <t>250</t>
  </si>
  <si>
    <t>728000000R33</t>
  </si>
  <si>
    <t>251</t>
  </si>
  <si>
    <t>728000000R34</t>
  </si>
  <si>
    <t>252</t>
  </si>
  <si>
    <t>728000000R35</t>
  </si>
  <si>
    <t>253</t>
  </si>
  <si>
    <t>728000000R36</t>
  </si>
  <si>
    <t>Tvarovky spiro do prum.160</t>
  </si>
  <si>
    <t>254</t>
  </si>
  <si>
    <t>728000000R37</t>
  </si>
  <si>
    <t>728_3</t>
  </si>
  <si>
    <t>Zarízení c.3 – Vetrání filtru M+D</t>
  </si>
  <si>
    <t>255</t>
  </si>
  <si>
    <t>728000000R38</t>
  </si>
  <si>
    <t>Ventilátor potrubní prum.160 480m3/h pri 200Pa  103W,230V doplnit casovým dobehem pripojit elektro, ovládání na vypínac</t>
  </si>
  <si>
    <t>50_728_3_</t>
  </si>
  <si>
    <t>256</t>
  </si>
  <si>
    <t>728000000R39</t>
  </si>
  <si>
    <t>257</t>
  </si>
  <si>
    <t>728000000R40</t>
  </si>
  <si>
    <t>Tlumic hluku 355x100/1000</t>
  </si>
  <si>
    <t>258</t>
  </si>
  <si>
    <t>728000000R41</t>
  </si>
  <si>
    <t>Stríška prum.200</t>
  </si>
  <si>
    <t>259</t>
  </si>
  <si>
    <t>728000000R42</t>
  </si>
  <si>
    <t>Regulacní klapka 250x100 rucní</t>
  </si>
  <si>
    <t>260</t>
  </si>
  <si>
    <t>728000000R43</t>
  </si>
  <si>
    <t>261</t>
  </si>
  <si>
    <t>728000000R44</t>
  </si>
  <si>
    <t>262</t>
  </si>
  <si>
    <t>728000000R45</t>
  </si>
  <si>
    <t>Spiro potrubí prum.160</t>
  </si>
  <si>
    <t>263</t>
  </si>
  <si>
    <t>728000000R46</t>
  </si>
  <si>
    <t>VZT potrubí sk.I do 355x200 20% tvarovek</t>
  </si>
  <si>
    <t>264</t>
  </si>
  <si>
    <t>728000000R47</t>
  </si>
  <si>
    <t>Tvarovky spiro do prum.200</t>
  </si>
  <si>
    <t>265</t>
  </si>
  <si>
    <t>728000000R48</t>
  </si>
  <si>
    <t>728_4</t>
  </si>
  <si>
    <t>Zarízení c.4 – Vetrání kompresorovny M+D</t>
  </si>
  <si>
    <t>266</t>
  </si>
  <si>
    <t>728000000R49</t>
  </si>
  <si>
    <t>Protideštová žaluzie 500x355 se sítem a pozedním rámem</t>
  </si>
  <si>
    <t>50_728_4_</t>
  </si>
  <si>
    <t>267</t>
  </si>
  <si>
    <t>728000000R50</t>
  </si>
  <si>
    <t>Uzavírací klapka 500x355 rucní</t>
  </si>
  <si>
    <t>268</t>
  </si>
  <si>
    <t>728000000R51</t>
  </si>
  <si>
    <t>Filtracní box</t>
  </si>
  <si>
    <t>269</t>
  </si>
  <si>
    <t>728000000R52</t>
  </si>
  <si>
    <t>Tlumic hluku 500x355/1000</t>
  </si>
  <si>
    <t>270</t>
  </si>
  <si>
    <t>728000000R53</t>
  </si>
  <si>
    <t>Tepelná izolace tl. 25mm</t>
  </si>
  <si>
    <t>271</t>
  </si>
  <si>
    <t>728000000R54</t>
  </si>
  <si>
    <t>VZT potrubí sk.I pozink do 500x355 20% tvarovek</t>
  </si>
  <si>
    <t>272</t>
  </si>
  <si>
    <t>728000000R55</t>
  </si>
  <si>
    <t>728_5</t>
  </si>
  <si>
    <t>Zarízení c.5 – Vetrání spíže M+D</t>
  </si>
  <si>
    <t>273</t>
  </si>
  <si>
    <t>728000000R56</t>
  </si>
  <si>
    <t>Digestor 200m3/h pri 150Pa 200W,230V pripojit elektro, ovládání na digestori</t>
  </si>
  <si>
    <t>50_728_5_</t>
  </si>
  <si>
    <t>274</t>
  </si>
  <si>
    <t>728000000R57</t>
  </si>
  <si>
    <t>Stríška prum.160</t>
  </si>
  <si>
    <t>275</t>
  </si>
  <si>
    <t>728000000R58</t>
  </si>
  <si>
    <t>Ohebná hadice do prum.125 s hlukove tlumicím úcinkem</t>
  </si>
  <si>
    <t>276</t>
  </si>
  <si>
    <t>728000000R59</t>
  </si>
  <si>
    <t>277</t>
  </si>
  <si>
    <t>728000000R60</t>
  </si>
  <si>
    <t>278</t>
  </si>
  <si>
    <t>728000000R61</t>
  </si>
  <si>
    <t>Tepelná izolace tl. 25mm izolovat stoupacku</t>
  </si>
  <si>
    <t>279</t>
  </si>
  <si>
    <t>728000000R62</t>
  </si>
  <si>
    <t>Tvarovka spiro – T-kus prum.160-160-125</t>
  </si>
  <si>
    <t>280</t>
  </si>
  <si>
    <t>728000000R63</t>
  </si>
  <si>
    <t>728_6</t>
  </si>
  <si>
    <t>Zarízení c.6 – Vetrání hygienických zázemí pokoju záchr.  M+D</t>
  </si>
  <si>
    <t>281</t>
  </si>
  <si>
    <t>728000000R64</t>
  </si>
  <si>
    <t>Ventilátor prum.125 150m3/h pri 100Pa 26W,230V,0,11A pripojit elektro, ovládání na vypínac</t>
  </si>
  <si>
    <t>50_728_6_</t>
  </si>
  <si>
    <t>282</t>
  </si>
  <si>
    <t>728000000R65</t>
  </si>
  <si>
    <t>283</t>
  </si>
  <si>
    <t>728000000R66</t>
  </si>
  <si>
    <t>Zpetná klapka prum.125</t>
  </si>
  <si>
    <t>284</t>
  </si>
  <si>
    <t>728000000R67</t>
  </si>
  <si>
    <t>285</t>
  </si>
  <si>
    <t>728000000R68</t>
  </si>
  <si>
    <t>Žaluziová klapka samotížná</t>
  </si>
  <si>
    <t>286</t>
  </si>
  <si>
    <t>728000000R69</t>
  </si>
  <si>
    <t>Stríška</t>
  </si>
  <si>
    <t>287</t>
  </si>
  <si>
    <t>728000000R70</t>
  </si>
  <si>
    <t>Ohebná hadice prum.125 Sono</t>
  </si>
  <si>
    <t>288</t>
  </si>
  <si>
    <t>728000000R71</t>
  </si>
  <si>
    <t>289</t>
  </si>
  <si>
    <t>728000000R72</t>
  </si>
  <si>
    <t>290</t>
  </si>
  <si>
    <t>728000000R73</t>
  </si>
  <si>
    <t>291</t>
  </si>
  <si>
    <t>728000000R74</t>
  </si>
  <si>
    <t>Tepelná izolace tl. 25mm izolovat stoupacky a sání spalovacího vzduchu pro krb</t>
  </si>
  <si>
    <t>292</t>
  </si>
  <si>
    <t>728000000R75</t>
  </si>
  <si>
    <t>293</t>
  </si>
  <si>
    <t>728000000R76</t>
  </si>
  <si>
    <t>728_7</t>
  </si>
  <si>
    <t>Zarízení c.7 –  Vetrání pneuservisu a geometrie kol M+D</t>
  </si>
  <si>
    <t>294</t>
  </si>
  <si>
    <t>728000000R77</t>
  </si>
  <si>
    <t>Ventilátor prum.160 140m3/h pri 150Pa 53W,230V,0,21A pripojit elektro, ovládání na vypínac</t>
  </si>
  <si>
    <t>50_728_7_</t>
  </si>
  <si>
    <t>295</t>
  </si>
  <si>
    <t>728000000R78</t>
  </si>
  <si>
    <t>Zpetná klapka prum.160</t>
  </si>
  <si>
    <t>296</t>
  </si>
  <si>
    <t>728000000R79</t>
  </si>
  <si>
    <t>Vyústka na kruhové potrubí 325x75 odsávací</t>
  </si>
  <si>
    <t>297</t>
  </si>
  <si>
    <t>728000000R80</t>
  </si>
  <si>
    <t>298</t>
  </si>
  <si>
    <t>728000000R81</t>
  </si>
  <si>
    <t>Tvarovky spiro do prum.</t>
  </si>
  <si>
    <t>299</t>
  </si>
  <si>
    <t>728000000R82</t>
  </si>
  <si>
    <t>728_8</t>
  </si>
  <si>
    <t>Zarízení c.7 –  Vetrání garáže a garážové haly M+D</t>
  </si>
  <si>
    <t>300</t>
  </si>
  <si>
    <t>728000000R83</t>
  </si>
  <si>
    <t>Ventilátor 550m3/h pri 130 Pa, 103W,230V, 0,5A pripojit elektro, ovládání na cidlo CO, spínací hodnota 50ppm, doplnit cidlem CO, doplnit tlumícími spo</t>
  </si>
  <si>
    <t>50_728_8_</t>
  </si>
  <si>
    <t>301</t>
  </si>
  <si>
    <t>728000000R84</t>
  </si>
  <si>
    <t>Zpetná klapka prum.200</t>
  </si>
  <si>
    <t>302</t>
  </si>
  <si>
    <t>728000000R85</t>
  </si>
  <si>
    <t>303</t>
  </si>
  <si>
    <t>728000000R86</t>
  </si>
  <si>
    <t>Protideštová žaluzie 500x500 se sítem a pozedním rámem</t>
  </si>
  <si>
    <t>304</t>
  </si>
  <si>
    <t>728000000R87</t>
  </si>
  <si>
    <t>Protideštová žaluzie 200x200 se sítem a pozedním rámem</t>
  </si>
  <si>
    <t>305</t>
  </si>
  <si>
    <t>728000000R88</t>
  </si>
  <si>
    <t>306</t>
  </si>
  <si>
    <t>728000000R89</t>
  </si>
  <si>
    <t>732</t>
  </si>
  <si>
    <t>Strojovny</t>
  </si>
  <si>
    <t>307</t>
  </si>
  <si>
    <t>732339103R00</t>
  </si>
  <si>
    <t>Montáž nádoby expanzní tlakové 35 l</t>
  </si>
  <si>
    <t>50_732_</t>
  </si>
  <si>
    <t>SO01_50_73_</t>
  </si>
  <si>
    <t>308</t>
  </si>
  <si>
    <t>484673309</t>
  </si>
  <si>
    <t>Nádoba expanzní membránová 35 litru</t>
  </si>
  <si>
    <t>309</t>
  </si>
  <si>
    <t>732339105R00</t>
  </si>
  <si>
    <t>Montáž nádoby expanzní tlakové 80 l</t>
  </si>
  <si>
    <t>310</t>
  </si>
  <si>
    <t>484673317</t>
  </si>
  <si>
    <t>Nádoba expanzní membránová 80 litru</t>
  </si>
  <si>
    <t>311</t>
  </si>
  <si>
    <t>732119190R00</t>
  </si>
  <si>
    <t>Montáž rozdìlovacu a sberacu</t>
  </si>
  <si>
    <t>312</t>
  </si>
  <si>
    <t>55130004R</t>
  </si>
  <si>
    <t>Sdružený rozdelovac a sberac 2 okruhy</t>
  </si>
  <si>
    <t>313</t>
  </si>
  <si>
    <t>732421313R00</t>
  </si>
  <si>
    <t>Cerpadlo obehové 25-60, vc. šroubení</t>
  </si>
  <si>
    <t>314</t>
  </si>
  <si>
    <t>732429118R0R</t>
  </si>
  <si>
    <t>Stanice doplnovací automatická</t>
  </si>
  <si>
    <t>315</t>
  </si>
  <si>
    <t>732339199R00</t>
  </si>
  <si>
    <t xml:space="preserve">Montáž tepelného cerpadla, komplet	</t>
  </si>
  <si>
    <t>Imdividuální</t>
  </si>
  <si>
    <t>316</t>
  </si>
  <si>
    <t>55130001R1</t>
  </si>
  <si>
    <t>TC vzduch/voda - technicke prametry viz. PD</t>
  </si>
  <si>
    <t>317</t>
  </si>
  <si>
    <t>55130001R2</t>
  </si>
  <si>
    <t>Rozdelovac diferencních tlaku DDV 40</t>
  </si>
  <si>
    <t>318</t>
  </si>
  <si>
    <t>55130001R3</t>
  </si>
  <si>
    <t>Akumulacní zásobník (referencní výrobek BP 500 EP 1C)</t>
  </si>
  <si>
    <t>319</t>
  </si>
  <si>
    <t>55130001R4</t>
  </si>
  <si>
    <t>Elektrický kotel - technicke prametry viz. PD</t>
  </si>
  <si>
    <t>320</t>
  </si>
  <si>
    <t>55130001R5</t>
  </si>
  <si>
    <t>Neprímotopný zásobník TUV - technicke prametry viz. PD</t>
  </si>
  <si>
    <t>321</t>
  </si>
  <si>
    <t>55130001R6</t>
  </si>
  <si>
    <t>Elektrická vestavená patrona - technicke prametry viz. PD</t>
  </si>
  <si>
    <t>322</t>
  </si>
  <si>
    <t>55130001R7</t>
  </si>
  <si>
    <t>Obehové cerpadlo UPE 100 - 32 K vc. šroubení</t>
  </si>
  <si>
    <t>323</t>
  </si>
  <si>
    <t>55130001R8</t>
  </si>
  <si>
    <t>Demineralizacní sada</t>
  </si>
  <si>
    <t>324</t>
  </si>
  <si>
    <t>55130001R9</t>
  </si>
  <si>
    <t>Kompenzátor k tlumení vibrací a pohlcování hluku šírícího se potrubní sítí</t>
  </si>
  <si>
    <t>325</t>
  </si>
  <si>
    <t>5513001R10</t>
  </si>
  <si>
    <t>Samoregulacní topná páska pro ohrev hadice odvodu kondenzátu tep. cerpadel, PTC termistor pro pripojení k napájení tep.l cerpadla</t>
  </si>
  <si>
    <t>ohrívaná délka 1,5 m</t>
  </si>
  <si>
    <t>326</t>
  </si>
  <si>
    <t>5513001R11</t>
  </si>
  <si>
    <t>Regulace kaskády - technicke prametry viz. PD</t>
  </si>
  <si>
    <t>327</t>
  </si>
  <si>
    <t>5513001R12</t>
  </si>
  <si>
    <t>Kaskádový modul - technicke prametry viz. PD</t>
  </si>
  <si>
    <t>328</t>
  </si>
  <si>
    <t>998732203R00</t>
  </si>
  <si>
    <t>Presun hmot pro strojovny, výšky do 24 m</t>
  </si>
  <si>
    <t>733</t>
  </si>
  <si>
    <t>Rozvod potrubí</t>
  </si>
  <si>
    <t>329</t>
  </si>
  <si>
    <t>733163102R00</t>
  </si>
  <si>
    <t>Potrubí z medených trubek vytápení D 15 x 1,0 mm</t>
  </si>
  <si>
    <t>50_733_</t>
  </si>
  <si>
    <t>330</t>
  </si>
  <si>
    <t>733163103R00</t>
  </si>
  <si>
    <t>Potrubí z medených trubek vytápení D 18 x 1,0 mm</t>
  </si>
  <si>
    <t>331</t>
  </si>
  <si>
    <t>733163104R00</t>
  </si>
  <si>
    <t>Potrubí z medených trubek vytápení D 22 x 1,0 mm</t>
  </si>
  <si>
    <t>332</t>
  </si>
  <si>
    <t>733163105R00</t>
  </si>
  <si>
    <t>Potrubí z medených trubek vytápení D 28 x 1,5 mm</t>
  </si>
  <si>
    <t>333</t>
  </si>
  <si>
    <t>733163106R00</t>
  </si>
  <si>
    <t>Potrubí z medených trubek vytápení D 35 x 1,5 mm</t>
  </si>
  <si>
    <t>334</t>
  </si>
  <si>
    <t>733163107R00</t>
  </si>
  <si>
    <t>Potrubí z medených trubek vytápení D 42 x 1,5 mm</t>
  </si>
  <si>
    <t>335</t>
  </si>
  <si>
    <t>733163108R00</t>
  </si>
  <si>
    <t>Potrubí z medených trubek vytápení D 54 x 2,0 mm</t>
  </si>
  <si>
    <t>722181213RT5</t>
  </si>
  <si>
    <t>Izolace návleková polyet. tl. steny 13 mm</t>
  </si>
  <si>
    <t>pro potrubí 15 mm</t>
  </si>
  <si>
    <t>337</t>
  </si>
  <si>
    <t>722181213RT6</t>
  </si>
  <si>
    <t>pro potrubí 18 mm</t>
  </si>
  <si>
    <t>338</t>
  </si>
  <si>
    <t>722181214RT7</t>
  </si>
  <si>
    <t>Izolace návleková polyet. tl. steny 20 mm</t>
  </si>
  <si>
    <t>pro potrubí 22 mm</t>
  </si>
  <si>
    <t>339</t>
  </si>
  <si>
    <t>722181214RT9</t>
  </si>
  <si>
    <t>pro potrubí 28 mm</t>
  </si>
  <si>
    <t>340</t>
  </si>
  <si>
    <t>722181215RU2</t>
  </si>
  <si>
    <t>Izolace návleková polyet tl. steny 30 mm</t>
  </si>
  <si>
    <t>pro potrubí 35 mm</t>
  </si>
  <si>
    <t>341</t>
  </si>
  <si>
    <t>722182006R0R</t>
  </si>
  <si>
    <t>Montáž tepelné izolace návlekové na potrubí do DN 80</t>
  </si>
  <si>
    <t>10+200</t>
  </si>
  <si>
    <t>54+42</t>
  </si>
  <si>
    <t>342</t>
  </si>
  <si>
    <t>733190306R00</t>
  </si>
  <si>
    <t>Tlaková zkouška Cu potrubí do D 35</t>
  </si>
  <si>
    <t>360+130+100+140+50</t>
  </si>
  <si>
    <t>343</t>
  </si>
  <si>
    <t>733190307R00</t>
  </si>
  <si>
    <t>Tlaková zkouška Cu potrubí do D 64</t>
  </si>
  <si>
    <t>200+10</t>
  </si>
  <si>
    <t>344</t>
  </si>
  <si>
    <t>28377309R</t>
  </si>
  <si>
    <t>Izolace potrubí návleková 54/50</t>
  </si>
  <si>
    <t>345</t>
  </si>
  <si>
    <t>998733203R00</t>
  </si>
  <si>
    <t>Presun hmot pro rozvody potrubí, výšky do 24 m</t>
  </si>
  <si>
    <t>346</t>
  </si>
  <si>
    <t>28377308R</t>
  </si>
  <si>
    <t>Izolace potrubí návleková 42/40</t>
  </si>
  <si>
    <t>734</t>
  </si>
  <si>
    <t>Armatury</t>
  </si>
  <si>
    <t>347</t>
  </si>
  <si>
    <t>734293137R00</t>
  </si>
  <si>
    <t>Ventil smeš.trícest.Kv9 +servopohon</t>
  </si>
  <si>
    <t>50_734_</t>
  </si>
  <si>
    <t>348</t>
  </si>
  <si>
    <t>734293138R00</t>
  </si>
  <si>
    <t>Ventil smeš.trícest.Kv12 +servopohon</t>
  </si>
  <si>
    <t>349</t>
  </si>
  <si>
    <t>734225824R00</t>
  </si>
  <si>
    <t>Ventil vyvažovací DN32</t>
  </si>
  <si>
    <t>350</t>
  </si>
  <si>
    <t>734225825R00</t>
  </si>
  <si>
    <t>Ventil vyvažovací DN40</t>
  </si>
  <si>
    <t>351</t>
  </si>
  <si>
    <t>734245424R00</t>
  </si>
  <si>
    <t>Klapka zpetná DN 32</t>
  </si>
  <si>
    <t>352</t>
  </si>
  <si>
    <t>734245425R00</t>
  </si>
  <si>
    <t>Klapka zpetná DN 40</t>
  </si>
  <si>
    <t>353</t>
  </si>
  <si>
    <t>734245426R00</t>
  </si>
  <si>
    <t>Klapka zpetná DN 50</t>
  </si>
  <si>
    <t>354</t>
  </si>
  <si>
    <t>734265313R00</t>
  </si>
  <si>
    <t>Šroubení topenárské, prímé, DN 20</t>
  </si>
  <si>
    <t>355</t>
  </si>
  <si>
    <t>734411111R00</t>
  </si>
  <si>
    <t>Teplomer 0-120 stup. C</t>
  </si>
  <si>
    <t>356</t>
  </si>
  <si>
    <t>724231125R00</t>
  </si>
  <si>
    <t>Manometr 0-600kPa</t>
  </si>
  <si>
    <t>357</t>
  </si>
  <si>
    <t>734215133R00</t>
  </si>
  <si>
    <t>Ventil odvzdušnovací automat. DN 15</t>
  </si>
  <si>
    <t>358</t>
  </si>
  <si>
    <t>734255135R00</t>
  </si>
  <si>
    <t>Ventil pojistný, DN 25 x 6,0 bar</t>
  </si>
  <si>
    <t>359</t>
  </si>
  <si>
    <t>738119314R0R</t>
  </si>
  <si>
    <t>Magnetický odlucovac DN50/80</t>
  </si>
  <si>
    <t>360</t>
  </si>
  <si>
    <t>724231123R00</t>
  </si>
  <si>
    <t>Manometr 0-1 MPa</t>
  </si>
  <si>
    <t>361</t>
  </si>
  <si>
    <t>734266212R00</t>
  </si>
  <si>
    <t>Šroubení reg.rohové,vnitr. DN 15</t>
  </si>
  <si>
    <t>362</t>
  </si>
  <si>
    <t>734221672RT3</t>
  </si>
  <si>
    <t>Hlavice ovládání ventilu termostatická</t>
  </si>
  <si>
    <t>363</t>
  </si>
  <si>
    <t>734266446R0R</t>
  </si>
  <si>
    <t>Stredová armatura vc. šroubení</t>
  </si>
  <si>
    <t>364</t>
  </si>
  <si>
    <t>734295323R00</t>
  </si>
  <si>
    <t>Kohout kul.vypouštecí DN 15</t>
  </si>
  <si>
    <t>365</t>
  </si>
  <si>
    <t>734235132R00</t>
  </si>
  <si>
    <t>Kohout kulový s vypouštením, DN 20</t>
  </si>
  <si>
    <t>366</t>
  </si>
  <si>
    <t>734235124R00</t>
  </si>
  <si>
    <t>Kohout kulový s páckou DN 32</t>
  </si>
  <si>
    <t>367</t>
  </si>
  <si>
    <t>734235125R00</t>
  </si>
  <si>
    <t>Kohout kulový s páckou DN 40</t>
  </si>
  <si>
    <t>368</t>
  </si>
  <si>
    <t>734235126R00</t>
  </si>
  <si>
    <t>Kohout kulový s páckou DN 50</t>
  </si>
  <si>
    <t>369</t>
  </si>
  <si>
    <t>734295214R00</t>
  </si>
  <si>
    <t>Filtr DN 32</t>
  </si>
  <si>
    <t>370</t>
  </si>
  <si>
    <t>734294215R00</t>
  </si>
  <si>
    <t>Filtr DN 40</t>
  </si>
  <si>
    <t>371</t>
  </si>
  <si>
    <t>734294216R00</t>
  </si>
  <si>
    <t>Filtr DN 50</t>
  </si>
  <si>
    <t>372</t>
  </si>
  <si>
    <t>722265315R0R</t>
  </si>
  <si>
    <t xml:space="preserve">Vodomer, fltr na strane dopouštené vody	</t>
  </si>
  <si>
    <t>373</t>
  </si>
  <si>
    <t>998734203R00</t>
  </si>
  <si>
    <t>Presun hmot pro armatury, výšky do 24 m</t>
  </si>
  <si>
    <t>374</t>
  </si>
  <si>
    <t>31945518R</t>
  </si>
  <si>
    <t>Ostatní spojovací a montážní materiál (napr. mont. mat. tep. cerpadla,fitinky, objímky, konzole, klipsy, atd.)</t>
  </si>
  <si>
    <t>735</t>
  </si>
  <si>
    <t>Otopná tìlesa</t>
  </si>
  <si>
    <t>375</t>
  </si>
  <si>
    <t>735191910R00</t>
  </si>
  <si>
    <t>Napuštení vody do otopného systému - bez kotle</t>
  </si>
  <si>
    <t>50_735_</t>
  </si>
  <si>
    <t>dle výkazu otop. teles</t>
  </si>
  <si>
    <t>0,603*0,404+0,703*0,704*2+0,703*1,004+0,703*2,004*9+0,703*0,704*2+0,703*1,004+0,703*1,104+0,703*2,004*6+0,703*1,404*3+0,703*1,604</t>
  </si>
  <si>
    <t>2*0,4*5+2*0,8+2*0,9*2+2*0,6*2+2*0,9*8</t>
  </si>
  <si>
    <t>1,81*0,75*4+0,7*0,4*2+0,7*2,0*4+0,7*0,7*2+0,7*1,6+0,7*2,0*7+0,9*0,5+0,9*0,9+0,9*1,6*2+2,0*0,4</t>
  </si>
  <si>
    <t>376</t>
  </si>
  <si>
    <t>735171335R00</t>
  </si>
  <si>
    <t>Teleso trubkové koupelnové vc. konzole, v. 1810 mm, dl. 750 mm</t>
  </si>
  <si>
    <t>377</t>
  </si>
  <si>
    <t>735159130R00</t>
  </si>
  <si>
    <t>Montáž panelových teles jednoradých do délky 2820 mm</t>
  </si>
  <si>
    <t>2+4+1+2+1+9+5+1+2</t>
  </si>
  <si>
    <t>378</t>
  </si>
  <si>
    <t>735159210R00</t>
  </si>
  <si>
    <t>Montáž panelových teles dvouradých do délky 1140 mm</t>
  </si>
  <si>
    <t>2+1+1+1+2+1+1+2+8</t>
  </si>
  <si>
    <t>379</t>
  </si>
  <si>
    <t>735159230R00</t>
  </si>
  <si>
    <t>Montáž panelových teles dvouradých do délky 1980 mm</t>
  </si>
  <si>
    <t>1+2</t>
  </si>
  <si>
    <t>380</t>
  </si>
  <si>
    <t>735159240R00</t>
  </si>
  <si>
    <t>Montáž panelových teles dvouradých do délky 2820 mm</t>
  </si>
  <si>
    <t>7+6</t>
  </si>
  <si>
    <t>381</t>
  </si>
  <si>
    <t>735159320R00</t>
  </si>
  <si>
    <t>Montáž panelových teles tríradých do délky 1500 mm</t>
  </si>
  <si>
    <t>382</t>
  </si>
  <si>
    <t>735159330R00</t>
  </si>
  <si>
    <t>Montáž panelových teles tríradých do délky 1980 mm</t>
  </si>
  <si>
    <t>383</t>
  </si>
  <si>
    <t>484576721R</t>
  </si>
  <si>
    <t>Teleso otopné deskové jednorad. 700/400 (se snadnou údržbou VK) vc. konzol</t>
  </si>
  <si>
    <t>384</t>
  </si>
  <si>
    <t>484576722R</t>
  </si>
  <si>
    <t>Teleso otopné deskové jednorad. 700/2000 (se snadnou údržbou VK) vc. konzol</t>
  </si>
  <si>
    <t>385</t>
  </si>
  <si>
    <t>484576723R</t>
  </si>
  <si>
    <t>Teleso otopné deskové dvourad. 700/700 (se snadnou údržbou VK) vc. konzol</t>
  </si>
  <si>
    <t>386</t>
  </si>
  <si>
    <t>484576724R</t>
  </si>
  <si>
    <t>Teleso otopné deskové dvourad. 700/1600 (se snadnou údržbou VK) vc. konzol</t>
  </si>
  <si>
    <t>387</t>
  </si>
  <si>
    <t>484576725R</t>
  </si>
  <si>
    <t>Teleso otopné deskové dvourad. 700/2000 (se snadnou údržbou VK) vc. konzol</t>
  </si>
  <si>
    <t>388</t>
  </si>
  <si>
    <t>484576726R</t>
  </si>
  <si>
    <t>Teleso otopné deskové dvourad. 900/500 (se snadnou údržbou VK) vc. konzol</t>
  </si>
  <si>
    <t>389</t>
  </si>
  <si>
    <t>484576727R</t>
  </si>
  <si>
    <t>Teleso otopné deskové dvourad. 900/900 (se snadnou údržbou VK) vc. konzol</t>
  </si>
  <si>
    <t>390</t>
  </si>
  <si>
    <t>484576728R</t>
  </si>
  <si>
    <t>Teleso otopné deskové dvourad. 900/1600 (se snadnou údržbou VK) vc. konzol</t>
  </si>
  <si>
    <t>391</t>
  </si>
  <si>
    <t>484576729R</t>
  </si>
  <si>
    <t>Teleso otopné deskové dvourad. 2000/400 (se snadnou údržbou VK) vc. konzol</t>
  </si>
  <si>
    <t>392</t>
  </si>
  <si>
    <t>484576730R</t>
  </si>
  <si>
    <t>Teleso otopné deskové dvouorad. 603/404 (hygienické VK) vc. konzol</t>
  </si>
  <si>
    <t>393</t>
  </si>
  <si>
    <t>484576731R</t>
  </si>
  <si>
    <t>Teleso otopné deskové jednorad. 703/704 (hygienické VK) vc. konzol</t>
  </si>
  <si>
    <t>394</t>
  </si>
  <si>
    <t>484576732R</t>
  </si>
  <si>
    <t>Teleso otopné deskové jednorad. 703/1004 (hygienické VK) vc. konzol</t>
  </si>
  <si>
    <t>395</t>
  </si>
  <si>
    <t>484576733R</t>
  </si>
  <si>
    <t>Teleso otopné deskové jednorad. 703/2004 (hygienické VK) vc. konzol</t>
  </si>
  <si>
    <t>396</t>
  </si>
  <si>
    <t>484576734R</t>
  </si>
  <si>
    <t>Teleso otopné deskové dvouorad. 703/704 (hygienické VK) vc. konzol</t>
  </si>
  <si>
    <t>397</t>
  </si>
  <si>
    <t>484576735R</t>
  </si>
  <si>
    <t>Teleso otopné deskové dvouorad. 703/1004 (hygienické VK) vc. konzol</t>
  </si>
  <si>
    <t>398</t>
  </si>
  <si>
    <t>484576736R</t>
  </si>
  <si>
    <t>Teleso otopné deskové dvouorad. 703/1104 (hygienické VK) vc. konzol</t>
  </si>
  <si>
    <t>399</t>
  </si>
  <si>
    <t>484576737R</t>
  </si>
  <si>
    <t>Teleso otopné deskové dvouorad. 703/2004 (hygienické VK) vc. konzol</t>
  </si>
  <si>
    <t>400</t>
  </si>
  <si>
    <t>484576738R</t>
  </si>
  <si>
    <t>Teleso otopné deskové trírad. 703/1404 (hygienické VK) vc. konzol</t>
  </si>
  <si>
    <t>401</t>
  </si>
  <si>
    <t>484576739R</t>
  </si>
  <si>
    <t>Teleso otopné deskové trírad. 703/1604 (hygienické VK) vc. konzol</t>
  </si>
  <si>
    <t>402</t>
  </si>
  <si>
    <t>484576740R</t>
  </si>
  <si>
    <t>Teleso otopné deskové designové jednorad. 2000/400 (hladké, vertikalní - M) vc. konzol</t>
  </si>
  <si>
    <t>403</t>
  </si>
  <si>
    <t>484576741R</t>
  </si>
  <si>
    <t>Teleso otopné deskové designové jednorad. 2000/800 (hladké, vertikalní - M) vc. konzol</t>
  </si>
  <si>
    <t>404</t>
  </si>
  <si>
    <t>484576742R</t>
  </si>
  <si>
    <t>Teleso otopné deskové designové jednorad. 2000/900 (hladké, vertikalní - M) vc. konzol</t>
  </si>
  <si>
    <t>405</t>
  </si>
  <si>
    <t>484576743R</t>
  </si>
  <si>
    <t>Teleso otopné deskové designové dvourad. 2000/600 (hladké, vertikalní - M) vc. konzol</t>
  </si>
  <si>
    <t>406</t>
  </si>
  <si>
    <t>484576744R</t>
  </si>
  <si>
    <t>Teleso otopné deskové designové dvourad. 2000/900 (hladké, vertikalní - M) vc. konzol</t>
  </si>
  <si>
    <t>407</t>
  </si>
  <si>
    <t>998735202R00</t>
  </si>
  <si>
    <t>Presun hmot pro otopná telesa, výšky do 12 m</t>
  </si>
  <si>
    <t>762</t>
  </si>
  <si>
    <t>Konstrukce tesarské</t>
  </si>
  <si>
    <t>408</t>
  </si>
  <si>
    <t>762441112RT4</t>
  </si>
  <si>
    <t>Montáž obložení atiky z drevoštepkových desek, 1 vrstva, šroubováním - shora pod oplechování</t>
  </si>
  <si>
    <t>50_762_</t>
  </si>
  <si>
    <t>SO01_50_76_</t>
  </si>
  <si>
    <t>vcetnì dodávky desky OSB ECO 3 N tl. 20 mm, podkl. hranolu a separacní vrstvy</t>
  </si>
  <si>
    <t>409</t>
  </si>
  <si>
    <t>998764202R00</t>
  </si>
  <si>
    <t>Presun hmot pro klempírské konstr., výšky do 12 m</t>
  </si>
  <si>
    <t>764</t>
  </si>
  <si>
    <t>Konstrukce klempírské</t>
  </si>
  <si>
    <t>410</t>
  </si>
  <si>
    <t>764908307R00</t>
  </si>
  <si>
    <t>Oplechování parapetu, rš 275mm poplastovaný plech, kompletní provedení vc. všech kotev. a pom. kcí a prvku - dle popisu v pd</t>
  </si>
  <si>
    <t>50_764_</t>
  </si>
  <si>
    <t>dle tab. klemp. výrobku</t>
  </si>
  <si>
    <t>4,1*3</t>
  </si>
  <si>
    <t>K1</t>
  </si>
  <si>
    <t>2,45*2</t>
  </si>
  <si>
    <t>K2</t>
  </si>
  <si>
    <t>1,5</t>
  </si>
  <si>
    <t>K3</t>
  </si>
  <si>
    <t>0,88*9</t>
  </si>
  <si>
    <t>K4</t>
  </si>
  <si>
    <t>1,9</t>
  </si>
  <si>
    <t>K5</t>
  </si>
  <si>
    <t>0,46*8</t>
  </si>
  <si>
    <t>K6</t>
  </si>
  <si>
    <t>7,2</t>
  </si>
  <si>
    <t>K7</t>
  </si>
  <si>
    <t>4,725</t>
  </si>
  <si>
    <t>K8</t>
  </si>
  <si>
    <t>2,32</t>
  </si>
  <si>
    <t>K9</t>
  </si>
  <si>
    <t>1,02*2</t>
  </si>
  <si>
    <t>K10</t>
  </si>
  <si>
    <t>4,475*3</t>
  </si>
  <si>
    <t>K11</t>
  </si>
  <si>
    <t>5,28</t>
  </si>
  <si>
    <t>K12</t>
  </si>
  <si>
    <t>2,36</t>
  </si>
  <si>
    <t>K13</t>
  </si>
  <si>
    <t>1,12*2</t>
  </si>
  <si>
    <t>K20</t>
  </si>
  <si>
    <t>411</t>
  </si>
  <si>
    <t>764908309R00</t>
  </si>
  <si>
    <t>Oplechování parapetu, rš 460mm poplastovaný plech, kompletní provedení vc. všech kotev. a pom. kcí a prvku - dle popisu v pd</t>
  </si>
  <si>
    <t>9,2</t>
  </si>
  <si>
    <t>K14</t>
  </si>
  <si>
    <t>412</t>
  </si>
  <si>
    <t>764815301R0R</t>
  </si>
  <si>
    <t>Strešní žlab š. 135mm, rš 330 mm, kompletní provedení vc. všech kotev. a pom. kcí a prvku - dle popisu v pd</t>
  </si>
  <si>
    <t>K15</t>
  </si>
  <si>
    <t>413</t>
  </si>
  <si>
    <t>764908109RT2</t>
  </si>
  <si>
    <t>Odpadní trouby kruhové, D 100 mm z poplastovaného plechu, kompletní provedení vc. všech kotev. a pom. kcí a prvku - dle popisu v pd</t>
  </si>
  <si>
    <t>1,7*2</t>
  </si>
  <si>
    <t>K16</t>
  </si>
  <si>
    <t>414</t>
  </si>
  <si>
    <t>764817168RT2</t>
  </si>
  <si>
    <t>Oplechování zdí (atik) z poplast. plechu, rš 680 mm, kompletní provedení vc. všech kotev. a pom. kcí a prvku - dle popisu v pd</t>
  </si>
  <si>
    <t>dle tab. klemp. prvku</t>
  </si>
  <si>
    <t>30,2</t>
  </si>
  <si>
    <t>K17</t>
  </si>
  <si>
    <t>415</t>
  </si>
  <si>
    <t>764817175RTR</t>
  </si>
  <si>
    <t>Oplechování zdí (atik) z poplast. plechu, rš 765 mm, kompletní provedení vc. všech kotev. a pom. kcí a prvku - dle popisu v pd</t>
  </si>
  <si>
    <t>9,3+172,7+30,1</t>
  </si>
  <si>
    <t>K18</t>
  </si>
  <si>
    <t>416</t>
  </si>
  <si>
    <t>764817176RTR</t>
  </si>
  <si>
    <t>Oplechování zdí (atik) z poplast. plechu, rš 800 mm, kompletní provedení vc. všech kotev. a pom. kcí a prvku - dle popisu v pd</t>
  </si>
  <si>
    <t>11.5</t>
  </si>
  <si>
    <t>K19</t>
  </si>
  <si>
    <t>417</t>
  </si>
  <si>
    <t>766</t>
  </si>
  <si>
    <t>Konstrukce truhlárské</t>
  </si>
  <si>
    <t>418</t>
  </si>
  <si>
    <t>766620112RA1</t>
  </si>
  <si>
    <t>01 - Okno, kompletní provedení vc. všech doplnku a detailu, vc. podkl. prof. - dle popisu v pd (podrobne viz tab. vnejš. výpln. otvoru)</t>
  </si>
  <si>
    <t>50_766_</t>
  </si>
  <si>
    <t>419</t>
  </si>
  <si>
    <t>766620112RA2</t>
  </si>
  <si>
    <t>02 - Okno, kompletní provedení vc. všech doplnku a detailu, vc. podkl. prof. - dle popisu v pd (podrobne viz tab. vnejš. výpln. otvoru)</t>
  </si>
  <si>
    <t>420</t>
  </si>
  <si>
    <t>766620112RA3</t>
  </si>
  <si>
    <t>03 - Vstupní dvere, kompletní provedení vc.všech doplnku a detailu,vc. podkl. a dopln.prof. - dle popisu v pd (podrobne viz tab. vnejš. výpln. otvoru)</t>
  </si>
  <si>
    <t>421</t>
  </si>
  <si>
    <t>766620112RA4</t>
  </si>
  <si>
    <t>04 - Prosklené dvere, kompletní provedení vc.všech doplnku a detailu,vc.podkl. a dopln.prof. - dle popisu v pd(podrobne viz tab. vnejš. výpln. otvoru)</t>
  </si>
  <si>
    <t>422</t>
  </si>
  <si>
    <t>766620112RA5</t>
  </si>
  <si>
    <t>05 - Okno, kompletní provedení vc. všech doplnku a detailu, vc. podkl. prof. - dle popisu v pd (podrobne viz tab. vnejš. výpln. otvoru)</t>
  </si>
  <si>
    <t>423</t>
  </si>
  <si>
    <t>766620112RA6</t>
  </si>
  <si>
    <t>06 - Okno, kompletní provedení vc. všech doplnku a detailu, vc. podkl. prof. - dle popisu v pd (podrobne viz tab. vnejš. výpln. otvoru)</t>
  </si>
  <si>
    <t>424</t>
  </si>
  <si>
    <t>766620112RA7</t>
  </si>
  <si>
    <t>07 - Okno, kompletní provedení vc. všech doplnku a detailu, vc. podkl. prof. - dle popisu v pd (podrobne viz tab. vnejš. výpln. otvoru)</t>
  </si>
  <si>
    <t>425</t>
  </si>
  <si>
    <t>766620112RA8</t>
  </si>
  <si>
    <t>08 - Okno, kompletní provedení vc. všech doplnku a detailu, vc. podkl. prof. - dle popisu v pd (podrobne viz tab. vnejš. výpln. otvoru)</t>
  </si>
  <si>
    <t>426</t>
  </si>
  <si>
    <t>766620112RA9</t>
  </si>
  <si>
    <t>09 - Okno, kompletní provedení vc. všech doplnku a detailu, vc. podkl. prof. - dle popisu v pd (podrobne viz tab. vnejš. výpln. otvoru)</t>
  </si>
  <si>
    <t>427</t>
  </si>
  <si>
    <t>76662012RA10</t>
  </si>
  <si>
    <t>10 - Okno, kompletní provedení vc. všech doplnku a detailu, vc. podkl. prof. - dle popisu v pd (podrobne viz tab. vnejš. výpln. otvoru)</t>
  </si>
  <si>
    <t>428</t>
  </si>
  <si>
    <t>76662012RA11</t>
  </si>
  <si>
    <t>11 - Okno, kompletní provedení vc. všech doplnku a detailu, vc. podkl. prof. - dle popisu v pd (podrobne viz tab. vnejš. výpln. otvoru)</t>
  </si>
  <si>
    <t>429</t>
  </si>
  <si>
    <t>76662012RA12</t>
  </si>
  <si>
    <t>12 - Okno, kompletní provedení vc. všech doplnku a detailu, vc. podkl. prof. - dle popisu v pd (podrobne viz tab. vnejš. výpln. otvoru)</t>
  </si>
  <si>
    <t>430</t>
  </si>
  <si>
    <t>76662012RA13</t>
  </si>
  <si>
    <t>13 - Okno, kompletní provedení vc. všech doplnku a detailu, vc. podkl. prof. - dle popisu v pd (podrobne viz tab. vnejš. výpln. otvoru)</t>
  </si>
  <si>
    <t>431</t>
  </si>
  <si>
    <t>76662012RA14</t>
  </si>
  <si>
    <t>14 - Okno, kompletní provedení vc. všech doplnku a detailu, vc. podkl. prof. - dle popisu v pd (podrobne viz tab. vnejš. výpln. otvoru)</t>
  </si>
  <si>
    <t>432</t>
  </si>
  <si>
    <t>76662012RA15</t>
  </si>
  <si>
    <t>15 - Okno, kompletní provedení vc. všech doplnku a detailu, vc. podkl. prof. - dle popisu v pd (podrobne viz tab. vnejš. výpln. otvoru)</t>
  </si>
  <si>
    <t>433</t>
  </si>
  <si>
    <t>76662012RA16</t>
  </si>
  <si>
    <t>16 - Okno, kompletní provedení vc. všech doplnku a detailu, vc. podkl. prof. - dle popisu v pd (podrobne viz tab. vnejš. výpln. otvoru)</t>
  </si>
  <si>
    <t>434</t>
  </si>
  <si>
    <t>76662012RA17</t>
  </si>
  <si>
    <t>17 - Okno, kompletní provedení vc. všech doplnku a detailu, vc. podkl. prof. - dle popisu v pd (podrobne viz tab. vnejš. výpln. otvoru)</t>
  </si>
  <si>
    <t>435</t>
  </si>
  <si>
    <t>76662012RA18</t>
  </si>
  <si>
    <t>18 - Okno, kompletní provedení vc. všech doplnku a detailu, vc. podkl. prof. - dle popisu v pd (podrobne viz tab. vnejš. výpln. otvoru)</t>
  </si>
  <si>
    <t>436</t>
  </si>
  <si>
    <t>76662012RA19</t>
  </si>
  <si>
    <t>19 - Okno, kompletní provedení vc. všech doplnku a detailu, vc. podkl. prof. - dle popisu v pd (podrobne viz tab. vnejš. výpln. otvoru)</t>
  </si>
  <si>
    <t>437</t>
  </si>
  <si>
    <t>76662012RA20</t>
  </si>
  <si>
    <t>20 - Okno, kompletní provedení vc. všech doplnku a detailu, vc. podkl. prof. - dle popisu v pd (podrobne viz tab. vnejš. výpln. otvoru)</t>
  </si>
  <si>
    <t>438</t>
  </si>
  <si>
    <t>76662012RA21</t>
  </si>
  <si>
    <t>21 - Okno, kompletní provedení vc. všech doplnku a detailu, vc. podkl. prof. - dle popisu v pd (podrobne viz tab. vnejš. výpln. otvoru)</t>
  </si>
  <si>
    <t>439</t>
  </si>
  <si>
    <t>76662012RA22</t>
  </si>
  <si>
    <t>22 - Okno, kompletní provedení vc. všech doplnku a detailu, vc. podkl. prof. - dle popisu v pd (podrobne viz tab. vnejš. výpln. otvoru)</t>
  </si>
  <si>
    <t>440</t>
  </si>
  <si>
    <t>76662012RA23</t>
  </si>
  <si>
    <t>23 - Okno, kompletní provedení vc. všech doplnku a detailu, vc. podkl. prof. - dle popisu v pd (podrobne viz tab. vnejš. výpln. otvoru)</t>
  </si>
  <si>
    <t>441</t>
  </si>
  <si>
    <t>76662012RA24</t>
  </si>
  <si>
    <t>24 - Okno, kompletní provedení vc. všech doplnku a detailu, vc. podkl. prof. - dle popisu v pd (podrobne viz tab. vnejš. výpln. otvoru)</t>
  </si>
  <si>
    <t>442</t>
  </si>
  <si>
    <t>76662012RA25</t>
  </si>
  <si>
    <t>25 - Okno, kompletní provedení vc. všech doplnku a detailu, vc. podkl. prof. - dle popisu v pd (podrobne viz tab. vnejš. výpln. otvoru)</t>
  </si>
  <si>
    <t>443</t>
  </si>
  <si>
    <t>76662012RA26</t>
  </si>
  <si>
    <t>26 - Balk.dvere, kompletní provedení vc. všech doplnku a detailu, vc. podkl. prof. - dle popisu v pd (podrobne viz tab. vnejš. výpln. otvoru)</t>
  </si>
  <si>
    <t>444</t>
  </si>
  <si>
    <t>76662012RA27</t>
  </si>
  <si>
    <t>27 - Balk.dvere, kompletní provedení vc. všech doplnku a detailu, vc. podkl. prof. - dle popisu v pd (podrobne viz tab. vnejš. výpln. otvoru)</t>
  </si>
  <si>
    <t>445</t>
  </si>
  <si>
    <t>76662012RA28</t>
  </si>
  <si>
    <t>28 - Balk.dvere, kompletní provedení vc. všech doplnku a detailu, vc. podkl. prof. - dle popisu v pd (podrobne viz tab. vnejš. výpln. otvoru)</t>
  </si>
  <si>
    <t>446</t>
  </si>
  <si>
    <t>76662012RA29</t>
  </si>
  <si>
    <t>29 - Balk.dvere, kompletní provedení vc. všech doplnku a detailu, vc. podkl. a dopln.prof. - dle popisu v pd (podrobne viz tab. vnejš. výpln. otvoru)</t>
  </si>
  <si>
    <t>447</t>
  </si>
  <si>
    <t>76662012RA30</t>
  </si>
  <si>
    <t>30 - Balk.dvere, kompletní provedení vc. všech doplnku a detailu, vc. podkl. a dopln.prof. - dle popisu v pd (podrobne viz tab. vnejš. výpln. otvoru)</t>
  </si>
  <si>
    <t>448</t>
  </si>
  <si>
    <t>76662012RA31</t>
  </si>
  <si>
    <t>31 - Okno, kompletní provedení vc. všech doplnku a detailu, vc. podkl. prof. - dle popisu v pd (podrobne viz tab. vnejš. výpln. otvoru)</t>
  </si>
  <si>
    <t>449</t>
  </si>
  <si>
    <t>76662012RA32</t>
  </si>
  <si>
    <t>32 - Okno HS portál, kompletní provedení vc.všech doplnku a detailu, vc. podkl.a dopln.prof. -dle popisu v pd(podrobne viz tab. vnejš. výpln. otvoru)</t>
  </si>
  <si>
    <t>450</t>
  </si>
  <si>
    <t>76662012RA33</t>
  </si>
  <si>
    <t>33 - Vstupní dvere, kompletní provedení vc.všech doplnku a detailu,vc. podkl. a dopln.prof. - dle popisu v pd(podrobne viz tab. vnejš. výpln. otvoru)</t>
  </si>
  <si>
    <t>451</t>
  </si>
  <si>
    <t>76662012RA34</t>
  </si>
  <si>
    <t>34 - Okno, kompletní provedení vc. všech doplnku a detailu, vc. podkl. a dopln.prof. - dle popisu v pd (podrobne viz tab. vnejš. výpln. otvoru)</t>
  </si>
  <si>
    <t>452</t>
  </si>
  <si>
    <t>76662012RA35</t>
  </si>
  <si>
    <t>35 - Okno, kompletní provedení vc. všech doplnku a detailu, vc. podkl. prof. - dle popisu v pd (podrobne viz tab. vnejš. výpln. otvoru)</t>
  </si>
  <si>
    <t>453</t>
  </si>
  <si>
    <t>76662012RA36</t>
  </si>
  <si>
    <t>36 - Okno ocel, kompletní provedení vc. všech doplnku a detailu, vc. podkl. prof. - dle popisu v pd (podrobne viz tab. vnejš. výpln. otvoru)</t>
  </si>
  <si>
    <t>454</t>
  </si>
  <si>
    <t>76662012RA37</t>
  </si>
  <si>
    <t>37 - Okno ocel, kompletní provedení vc. všech doplnku a detailu, vc. podkl. prof. - dle popisu v pd (podrobne viz tab. vnejš. výpln. otvoru)</t>
  </si>
  <si>
    <t>455</t>
  </si>
  <si>
    <t>76662012RA38</t>
  </si>
  <si>
    <t>38 - Okno ocel, kompletní provedení vc. všech doplnku a detailu, vc. podkl. prof. - dle popisu v pd (podrobne viz tab. vnejš. výpln. otvoru)</t>
  </si>
  <si>
    <t>456</t>
  </si>
  <si>
    <t>76662012RA39</t>
  </si>
  <si>
    <t>39 - Okno ocel, kompletní provedení vc. všech doplnku a detailu, vc. podkl. prof. - dle popisu v pd (podrobne viz tab. vnejš. výpln. otvoru)</t>
  </si>
  <si>
    <t>457</t>
  </si>
  <si>
    <t>76662012RA40</t>
  </si>
  <si>
    <t>40 - Okno ocel, kompletní provedení vc. všech doplnku a detailu, vc. podkl. prof. - dle popisu v pd (podrobne viz tab. vnejš. výpln. otvoru)</t>
  </si>
  <si>
    <t>458</t>
  </si>
  <si>
    <t>76662012RA41</t>
  </si>
  <si>
    <t>41 - Okno ocel, kompletní provedení vc. všech doplnku a detailu, vc. podkl. prof. - dle popisu v pd (podrobne viz tab. vnejš. výpln. otvoru)</t>
  </si>
  <si>
    <t>459</t>
  </si>
  <si>
    <t>76662012RA42</t>
  </si>
  <si>
    <t>42 - Dvere ocel, kompletní provedení vc. všech doplnku a detailu, vc. podkl. prof. - dle popisu v pd (podrobne viz tab. vnejš. výpln. otvoru)</t>
  </si>
  <si>
    <t>460</t>
  </si>
  <si>
    <t>76662012RA43</t>
  </si>
  <si>
    <t>43 - Rychlobežná zateplená vrata, kompletní provedení vc. všech doplnku a detailu, - dle popisu v pd (podrobne viz tab. vnejš. výpln. otvoru)</t>
  </si>
  <si>
    <t>461</t>
  </si>
  <si>
    <t>76662012RA44</t>
  </si>
  <si>
    <t>44 - Sekcní vrata, kompletní provedení vc. všech doplnku a detailu, - dle popisu v pd (podrobne viz tab. vnejš. výpln. otvoru)</t>
  </si>
  <si>
    <t>462</t>
  </si>
  <si>
    <t>76662012RA45</t>
  </si>
  <si>
    <t>01a - Okno, kompletní provedení vc. všech doplnku a detailu, vc. podkl. prof. - dle popisu v pd (podrobne viz tab. vnejš. výpln. otvoru)</t>
  </si>
  <si>
    <t>463</t>
  </si>
  <si>
    <t>766660110RA1</t>
  </si>
  <si>
    <t>1 - Dvere 900/2100 vnitrní s pož. od., kompletní provedení vc. zárubne, kování, povrchu a všech doplnku a detailu - dle popisu v pd</t>
  </si>
  <si>
    <t>podrobne viz tab. vnitr. dverí</t>
  </si>
  <si>
    <t>464</t>
  </si>
  <si>
    <t>766660110RA2</t>
  </si>
  <si>
    <t>2 - Dvere 900/2100 vnitrní s pož. od., kompletní provedení vc. zárubne, kování, povrchu a všech doplnku a detailu - dle popisu v pd</t>
  </si>
  <si>
    <t>465</t>
  </si>
  <si>
    <t>766660110RA3</t>
  </si>
  <si>
    <t>3 - Dvere 900/2100 vnitrní s pož. od., kompletní provedení vc. zárubne, kování, povrchu a všech doplnku a detailu - dle popisu v pd</t>
  </si>
  <si>
    <t>466</t>
  </si>
  <si>
    <t>766660110RA4</t>
  </si>
  <si>
    <t>4 - Dvere 900/2100 vnitrní, kompletní provedení vc. zárubne, kování, povrchu a všech doplnku a detailu - dle popisu v pd</t>
  </si>
  <si>
    <t>467</t>
  </si>
  <si>
    <t>766660110RA5</t>
  </si>
  <si>
    <t>5 - Dvere 900/2100 vnitrní, kompletní provedení vc. zárubne, kování, povrchu a všech doplnku a detailu - dle popisu v pd</t>
  </si>
  <si>
    <t>468</t>
  </si>
  <si>
    <t>766660110RA6</t>
  </si>
  <si>
    <t>6 - Dvere 900/2100 vnitrní, kompletní provedení vc. zárubne, kování, povrchu a všech doplnku a detailu - dle popisu v pd</t>
  </si>
  <si>
    <t>469</t>
  </si>
  <si>
    <t>766660110RA7</t>
  </si>
  <si>
    <t>7 - Dvere 800/2100 vnitrní, kompletní provedení vc. zárubne, kování, povrchu a všech doplnku a detailu - dle popisu v pd</t>
  </si>
  <si>
    <t>470</t>
  </si>
  <si>
    <t>766660110RA9</t>
  </si>
  <si>
    <t>9 - Dvere 700/2100 vnitrní, kompletní provedení vc. zárubne, kování, povrchu a všech doplnku a detailu - dle popisu v pd</t>
  </si>
  <si>
    <t>471</t>
  </si>
  <si>
    <t>76666011RA10</t>
  </si>
  <si>
    <t>10 - Dvere 700/2100 vnitrní, kompletní provedení vc. zárubne, kování, povrchu a všech doplnku a detailu - dle popisu v pd</t>
  </si>
  <si>
    <t>472</t>
  </si>
  <si>
    <t>766660110RA8</t>
  </si>
  <si>
    <t>8 - Dvere 800/2100 vnitrní, kompletní provedení vc. zárubne, kování, povrchu a všech doplnku a detailu - dle popisu v pd</t>
  </si>
  <si>
    <t>473</t>
  </si>
  <si>
    <t>76666011RA11</t>
  </si>
  <si>
    <t>11 - Dvere 700/2100 vnitrní, kompletní provedení vc. zárubne, kování, povrchu a všech doplnku a detailu - dle popisu v pd</t>
  </si>
  <si>
    <t>474</t>
  </si>
  <si>
    <t>76666011RA12</t>
  </si>
  <si>
    <t>12 - Dvere 800/2100 vnitrní, kompletní provedení vc. zárubne, kování, povrchu a všech doplnku a detailu - dle popisu v pd</t>
  </si>
  <si>
    <t>475</t>
  </si>
  <si>
    <t>76666011RA13</t>
  </si>
  <si>
    <t>13 - Dvere 800/2100 vnitrní, kompletní provedení vc. zárubne, kování, povrchu a všech doplnku a detailu - dle popisu v pd</t>
  </si>
  <si>
    <t>476</t>
  </si>
  <si>
    <t>76666011RA14</t>
  </si>
  <si>
    <t>14 - Dvere 900/2100 vnitrní, kompletní provedení vc. zárubne, kování, povrchu a všech doplnku a detailu - dle popisu v pd</t>
  </si>
  <si>
    <t>477</t>
  </si>
  <si>
    <t>76666099RA01</t>
  </si>
  <si>
    <t>Kuchynská linka, vcetne vybavení a obkladu steny (viz pr. c. 1 tz ASR - PI_05)</t>
  </si>
  <si>
    <t>478</t>
  </si>
  <si>
    <t>998766202R00</t>
  </si>
  <si>
    <t>Presun hmot pro truhlárské konstr., výšky do 12 m</t>
  </si>
  <si>
    <t>767</t>
  </si>
  <si>
    <t>Konstrukce doplòkové stavební (zámecnické)</t>
  </si>
  <si>
    <t>479</t>
  </si>
  <si>
    <t>767990010RA1</t>
  </si>
  <si>
    <t>Z1 - L profil ve tvaru U, kompletní provedení vc. povrchu a všech kotev. a pom. kcí a prvku - dle popisu v pd (podrobne viz tab. zám. prvku)</t>
  </si>
  <si>
    <t>50_767_</t>
  </si>
  <si>
    <t>480</t>
  </si>
  <si>
    <t>767990010RA2</t>
  </si>
  <si>
    <t>Z2 - Pásovina ve tvaru U, kompletní provedení vc. povrchu a všech kotev. a pom. kcí a prvku - dle popisu v pd (podrobne viz tab. zám. prvku)</t>
  </si>
  <si>
    <t>481</t>
  </si>
  <si>
    <t>767990010RA3</t>
  </si>
  <si>
    <t>Z3 - Pásovina ve tvaru L, kompletní provedení vc. povrchu a všech kotev. a pom. kcí a prvku - dle popisu v pd (podrobne viz tab. zám. prvku)</t>
  </si>
  <si>
    <t>482</t>
  </si>
  <si>
    <t>767990010RA4</t>
  </si>
  <si>
    <t>Z4 - Pásovina ve tvaru L, kompletní provedení vc. povrchu a všech kotev. a pom. kcí a prvku - dle popisu v pd (podrobne viz tab. zám. prvku)</t>
  </si>
  <si>
    <t>483</t>
  </si>
  <si>
    <t>767990010RA5</t>
  </si>
  <si>
    <t>Z5 - Pásovina ve tvaru L, kompletní provedení vc. povrchu a všech kotev. a pom. kcí a prvku - dle popisu v pd (podrobne viz tab. zám. prvku)</t>
  </si>
  <si>
    <t>484</t>
  </si>
  <si>
    <t>767990010RA6</t>
  </si>
  <si>
    <t>Z6 - Pásovina ve tvaru L, kompletní provedení vc. povrchu a všech kotev. a pom. kcí a prvku - dle popisu v pd (podrobne viz tab. zám. prvku)</t>
  </si>
  <si>
    <t>485</t>
  </si>
  <si>
    <t>767990010RA7</t>
  </si>
  <si>
    <t>Z7 - L profil, kompletní provedení vc. povrchu a všech kotev. a pom. kcí a prvku - dle popisu v pd (podrobne viz tab. zám. prvku)</t>
  </si>
  <si>
    <t>486</t>
  </si>
  <si>
    <t>767990010RA8</t>
  </si>
  <si>
    <t>Z8 - Schodištové zábradlí, kompletní provedení vc. povrchu a všech kotev. a pom. kcí a prvku - dle popisu v pd (podrobne viz tab. zám. prvku)</t>
  </si>
  <si>
    <t>487</t>
  </si>
  <si>
    <t>767990010RA9</t>
  </si>
  <si>
    <t>Z9 - Schodištové zábradlí, kompletní provedení vc. povrchu a všech kotev. a pom. kcí a prvku - dle popisu v pd (podrobne viz tab. zám. prvku)</t>
  </si>
  <si>
    <t>488</t>
  </si>
  <si>
    <t>76799001RA10</t>
  </si>
  <si>
    <t>Z10 - Zábradlí a madla rampy, kompletní provedení vc. povrchu a všech kotev. a pom. kcí a prvku - dle popisu v pd (podrobne viz tab. zám. prvku)</t>
  </si>
  <si>
    <t>489</t>
  </si>
  <si>
    <t>76799001RA11</t>
  </si>
  <si>
    <t>Z11 - Pochuzná podlaha rampy, kompletní provedení vc. povrchu a všech kotev. a pom. kcí a prvku - dle popisu v pd (podrobne viz tab. zám. prvku)</t>
  </si>
  <si>
    <t>490</t>
  </si>
  <si>
    <t>76799001RA12</t>
  </si>
  <si>
    <t>Z12 - Schod. stupne u rampy, kompletní provedení vc. povrchu a všech kotev. a pom. kcí a prvku - dle popisu v pd (podrobne viz tab. zám. prvku)</t>
  </si>
  <si>
    <t>491</t>
  </si>
  <si>
    <t>76799001RA13</t>
  </si>
  <si>
    <t>Z13 - Podlahová konstrukce, kompletní provedení vc. povrchu a všech kotev. a pom. kcí a prvku - dle popisu v pd (podrobne viz tab. zám. prvku)</t>
  </si>
  <si>
    <t>492</t>
  </si>
  <si>
    <t>76799001RA14</t>
  </si>
  <si>
    <t>Z14 - Operná zed, kompletní provedení vc. povrchu a všech kotev. a pom. kcí a prvku - dle popisu v pd (podrobne viz tab. zám. prvku)</t>
  </si>
  <si>
    <t>493</t>
  </si>
  <si>
    <t>76799001RA15</t>
  </si>
  <si>
    <t>Z15 - Operná zed, kompletní provedení vc. povrchu a všech kotev. a pom. kcí a prvku - dle popisu v pd (podrobne viz tab. zám. prvku)</t>
  </si>
  <si>
    <t>494</t>
  </si>
  <si>
    <t>76799001RA16</t>
  </si>
  <si>
    <t>Z16 - L profil s výztuhou, kompletní provedení vc. povrchu a všech kotev. a pom. kcí a prvku - dle popisu v pd (podrobne viz tab. zám. prvku)</t>
  </si>
  <si>
    <t>495</t>
  </si>
  <si>
    <t>76799001RA17</t>
  </si>
  <si>
    <t>Z17 - L profil s výztuhou, kompletní provedení vc. povrchu a všech kotev. a pom. kcí a prvku - dle popisu v pd (podrobne viz tab. zám. prvku)</t>
  </si>
  <si>
    <t>496</t>
  </si>
  <si>
    <t>76799001RA18</t>
  </si>
  <si>
    <t>Z18 - L profil s výztuhou, kompletní provedení vc. povrchu a všech kotev. a pom. kcí a prvku - dle popisu v pd (podrobne viz tab. zám. prvku)</t>
  </si>
  <si>
    <t>497</t>
  </si>
  <si>
    <t>76799001RA19</t>
  </si>
  <si>
    <t>Z19 - L profil s výztuhou, kompletní provedení vc. povrchu a všech kotev. a pom. kcí a prvku - dle popisu v pd (podrobne viz tab. zám. prvku)</t>
  </si>
  <si>
    <t>498</t>
  </si>
  <si>
    <t>76799001RA20</t>
  </si>
  <si>
    <t>Z20 - Ochrana nosných sloupu, kompletní provedení vc. povrchu a všech kotev. a pom. kcí a prvku - dle popisu v pd (podrobne viz tab. zám. prvku)</t>
  </si>
  <si>
    <t>499</t>
  </si>
  <si>
    <t>76799001RA21</t>
  </si>
  <si>
    <t>Z21 - Sendvicová stena zahr. sklad.,kompletní provedení vc. povrchu a všech kotev. a pom. kcí a prvku - dle popisu v pd (podrobne viz tab. zám. prvku)</t>
  </si>
  <si>
    <t>500</t>
  </si>
  <si>
    <t>76799001RA22</t>
  </si>
  <si>
    <t>Z22 - Zebrík.,kompletní provedení vc. povrchu a všech kotev. a pom. kcí a prvku - dle popisu v pd (podrobne viz tab. zám. prvku)</t>
  </si>
  <si>
    <t>(viz pr. c. 1 tz ASR - ASR-C_14)</t>
  </si>
  <si>
    <t>501</t>
  </si>
  <si>
    <t>76799001RA23</t>
  </si>
  <si>
    <t>Z23 - Zebrík.,kompletní provedení vc. povrchu a všech kotev. a pom. kcí a prvku - dle popisu v pd (podrobne viz tab. zám. prvku)</t>
  </si>
  <si>
    <t xml:space="preserve"> (viz pr. c. 1 tz ASR - ASR-C_13)</t>
  </si>
  <si>
    <t>502</t>
  </si>
  <si>
    <t>767426201R0R</t>
  </si>
  <si>
    <t>R8 - Slunolam, kompletní provedení vc. povrchu - dle popisu v pd (podrobne viz tab. truhl. a ruz. výrobku)</t>
  </si>
  <si>
    <t>(viz pr. c. 1 tz ASR - ASRC-C_15)</t>
  </si>
  <si>
    <t>503</t>
  </si>
  <si>
    <t>767996201R0R</t>
  </si>
  <si>
    <t>R3 - Bezpecnostní pádová sít, kompletní provedení - dle popisu v pd (podrobne viz tab. truhl. a ruz. výrobku)</t>
  </si>
  <si>
    <t>504</t>
  </si>
  <si>
    <t>767990010RAR</t>
  </si>
  <si>
    <t>Ocelové konstrukce - strop nad 1.np, kompletní provedení vc. povrchu, montážních a doplnk. prvku, uložení, podkladu, atd. - dle popisu v pd</t>
  </si>
  <si>
    <t>kg</t>
  </si>
  <si>
    <t>výkaz viz v.c. K04</t>
  </si>
  <si>
    <t>505</t>
  </si>
  <si>
    <t>767990011RAR</t>
  </si>
  <si>
    <t>Ocelové konstrukce - konstrukce garáže, kompletní provedení vc. povrchu, montážních a doplnk. prvku, uložení, podkladu, atd. - dle popisu v pd</t>
  </si>
  <si>
    <t>výkaz viz v.c. K06</t>
  </si>
  <si>
    <t>506</t>
  </si>
  <si>
    <t>767990012RAR</t>
  </si>
  <si>
    <t>Ocelové konstrukce - strop nad 2.np, kompletní provedení vc. povrchu, montážních a doplnk. prvku, uložení, podkladu, atd. - dle popisu v pd</t>
  </si>
  <si>
    <t>výkaz viz v.c. K07</t>
  </si>
  <si>
    <t>507</t>
  </si>
  <si>
    <t>767990013RAR</t>
  </si>
  <si>
    <t>Ocelové konstrukce - konstrukce 2.np - rám R1,R2, kompletní provedení vc.povrchu, montážních a doplnk. prvku,uložení,podkladu,atd. - dle popisu v pd</t>
  </si>
  <si>
    <t>výkaz viz v.c. K08</t>
  </si>
  <si>
    <t>508</t>
  </si>
  <si>
    <t>767990014RAR</t>
  </si>
  <si>
    <t>Ocelové konstrukce - konstrukce 2.np - atrium, kompletní provedení vc.povrchu, montážních a doplnk. prvku,uložení,podkladu,atd. - dle popisu v pd</t>
  </si>
  <si>
    <t>výkaz viz v.c. K09</t>
  </si>
  <si>
    <t>509</t>
  </si>
  <si>
    <t>767990015RAR</t>
  </si>
  <si>
    <t>Ocelové konstrukce - konstrukce venkovní rampy, kompletní provedení vc.povrchu, montážních a doplnk. prvku,uložení,podkladu,atd. - dle popisu v pd</t>
  </si>
  <si>
    <t>výkaz viz v.c. K13</t>
  </si>
  <si>
    <t>510</t>
  </si>
  <si>
    <t>767990016RAR</t>
  </si>
  <si>
    <t>Ocelové konstrukce - konstrukce venkovní lávky, kompletní provedení vc.povrchu, montážních a doplnk. prvku,uložení,podkladu,atd. - dle popisu v pd</t>
  </si>
  <si>
    <t>výkaz viz v.c. K14</t>
  </si>
  <si>
    <t>511</t>
  </si>
  <si>
    <t>767990017RAR</t>
  </si>
  <si>
    <t>Ocelové konstrukce - nosná kce fasády z UPE a dopln. profilu, kompletní provedení vc.povrchu, montážních a doplnk. prvku,uložení,podkladu,atd.</t>
  </si>
  <si>
    <t xml:space="preserve"> - dle popisu v pd  (viz pr. c. 1 tz ASR - ASR-C_11-F3)</t>
  </si>
  <si>
    <t>odhad</t>
  </si>
  <si>
    <t>1519</t>
  </si>
  <si>
    <t>pozinkovaný, vertifikovatelný, sloup UPE 160 x 70 x 9,5 mm</t>
  </si>
  <si>
    <t>897,5</t>
  </si>
  <si>
    <t>pozink ohýbaný "L" profil 170 x 340 x 5 mm</t>
  </si>
  <si>
    <t>1316</t>
  </si>
  <si>
    <t>pozink ohýbaný "L" 140 x 70 x 4 mm</t>
  </si>
  <si>
    <t>568</t>
  </si>
  <si>
    <t>pozinkovaný, rektifikovatelný profil otevrený prurezu U rovnoramenný 120x60x4 (delka=3,65m)</t>
  </si>
  <si>
    <t>1656,23</t>
  </si>
  <si>
    <t>pozinkovaný, rektifikovatelný profil otevrený prurezu U rovnoramenný 140x60x4</t>
  </si>
  <si>
    <t>pozinkovaný, rektifikovatelný JEKL 120x60x3 mm</t>
  </si>
  <si>
    <t>5986,73*0,2</t>
  </si>
  <si>
    <t>spoj. a kot. mat., patky</t>
  </si>
  <si>
    <t>512</t>
  </si>
  <si>
    <t>767660211RAR</t>
  </si>
  <si>
    <t>Prumyslová delící stena, komplet vc. povrchu  (viz pr. c. 1 tz ASR - PI_07)</t>
  </si>
  <si>
    <t>(8,5+7,3)*4,005</t>
  </si>
  <si>
    <t>513</t>
  </si>
  <si>
    <t>767422102R0R</t>
  </si>
  <si>
    <t>Fasáda z pozinkovaných plechu, rezaných pred zinkováním, komplet (viz pr. c. 1 tz ASR - ASR-C_10-F2)</t>
  </si>
  <si>
    <t>136,2</t>
  </si>
  <si>
    <t>514</t>
  </si>
  <si>
    <t>Fasáda z pozinkovaných plechu, rezaných pred zinkováním a s vypálenými císly, komplet  (viz pr. c. 1 tz ASR - ASR-C_10-F2)</t>
  </si>
  <si>
    <t>57,8</t>
  </si>
  <si>
    <t>515</t>
  </si>
  <si>
    <t>767422102R00</t>
  </si>
  <si>
    <t>Montáž kovové fasády z roštu (viz pr. c. 1 tz ASR - ASR-C_09-F1)</t>
  </si>
  <si>
    <t>471,08</t>
  </si>
  <si>
    <t>516</t>
  </si>
  <si>
    <t>55396350R</t>
  </si>
  <si>
    <t>Rošty fasádní, komplet vc. povrchu (viz pr. c. 1 tz ASR - ASR-C_09-F1)</t>
  </si>
  <si>
    <t>517</t>
  </si>
  <si>
    <t>767422101R00</t>
  </si>
  <si>
    <t>Montáž kovové fasády - ocelová podkonstrukce - pod rošty a plechy (viz pr. c. 1 tz ASR - ASR-C_11-F3)</t>
  </si>
  <si>
    <t>102,4+56,22</t>
  </si>
  <si>
    <t>rez BB</t>
  </si>
  <si>
    <t>200+43,7+87,6</t>
  </si>
  <si>
    <t>rez AA</t>
  </si>
  <si>
    <t>48+9,2+13*3+51+9+14,9*2+41,4</t>
  </si>
  <si>
    <t>rez CC-FF</t>
  </si>
  <si>
    <t>518</t>
  </si>
  <si>
    <t>55396351R</t>
  </si>
  <si>
    <t>rošt 4,7 - typ dle rezu BB a CC (viz pr. c. 1 tz ASR - ASR-C_11-F3)</t>
  </si>
  <si>
    <t>dle pud. a rezu</t>
  </si>
  <si>
    <t>519</t>
  </si>
  <si>
    <t>rošt 5,31 - typ dle rezu AA  (viz pr. c. 1 tz ASR - ASR-C_11-F3)</t>
  </si>
  <si>
    <t>520</t>
  </si>
  <si>
    <t>55396352R</t>
  </si>
  <si>
    <t>rošt 4,7 - typ dle rezu CC a GG (viz pr. c. 1 tz ASR - ASR-C_11-F3)</t>
  </si>
  <si>
    <t>rez CC</t>
  </si>
  <si>
    <t>41,4</t>
  </si>
  <si>
    <t>rez GG</t>
  </si>
  <si>
    <t>521</t>
  </si>
  <si>
    <t>55396353R</t>
  </si>
  <si>
    <t>plech 1,04 - typ dle rezu AA (viz pr. c. 1 tz ASR - ASR-C_11-F3)</t>
  </si>
  <si>
    <t>43,7</t>
  </si>
  <si>
    <t>522</t>
  </si>
  <si>
    <t>55396354R</t>
  </si>
  <si>
    <t>plech 2,085 - typ dle rezu AA (viz pr. c. 1 tz ASR - ASR-C_11-F3)</t>
  </si>
  <si>
    <t>87,6</t>
  </si>
  <si>
    <t>523</t>
  </si>
  <si>
    <t>55396355R</t>
  </si>
  <si>
    <t>plech 0,620 - typ dle rezu CC (viz pr. c. 1 tz ASR - ASR-C_11-F3)</t>
  </si>
  <si>
    <t>9,2+9</t>
  </si>
  <si>
    <t>524</t>
  </si>
  <si>
    <t>55396356R</t>
  </si>
  <si>
    <t>plech 1,04 - typ dle rezu CC (viz pr. c. 1 tz ASR - ASR-C_11-F3)</t>
  </si>
  <si>
    <t>525</t>
  </si>
  <si>
    <t>526</t>
  </si>
  <si>
    <t>55396357R</t>
  </si>
  <si>
    <t>527</t>
  </si>
  <si>
    <t>55396358R</t>
  </si>
  <si>
    <t>14,9</t>
  </si>
  <si>
    <t>528</t>
  </si>
  <si>
    <t>55396359R</t>
  </si>
  <si>
    <t>14,1</t>
  </si>
  <si>
    <t>529</t>
  </si>
  <si>
    <t>998767202R00</t>
  </si>
  <si>
    <t>Presun hmot pro zámecnické konstr., výšky do 12 m</t>
  </si>
  <si>
    <t>771</t>
  </si>
  <si>
    <t>Podlahy z dlaždic</t>
  </si>
  <si>
    <t>530</t>
  </si>
  <si>
    <t>771101101R00</t>
  </si>
  <si>
    <t>Vysávání podlah prum.vysavacem pro pokládku dlažby</t>
  </si>
  <si>
    <t>50_771_</t>
  </si>
  <si>
    <t>SO01_50_77_</t>
  </si>
  <si>
    <t>162,6</t>
  </si>
  <si>
    <t>podrobne viz výpocty jednotlivých podlah</t>
  </si>
  <si>
    <t>531</t>
  </si>
  <si>
    <t>771101210R00</t>
  </si>
  <si>
    <t>Penetrace podkladu pod dlažby</t>
  </si>
  <si>
    <t>126,035*0,1</t>
  </si>
  <si>
    <t>soklíky</t>
  </si>
  <si>
    <t>532</t>
  </si>
  <si>
    <t>771575101RUR</t>
  </si>
  <si>
    <t>Montáž podlah keram., tmel, vc. spárování a pruniku</t>
  </si>
  <si>
    <t>533</t>
  </si>
  <si>
    <t>597623122R</t>
  </si>
  <si>
    <t>Dlaždba keramická - dle výberu investora</t>
  </si>
  <si>
    <t>individuální</t>
  </si>
  <si>
    <t>;ztratné 10%; 16,26</t>
  </si>
  <si>
    <t>534</t>
  </si>
  <si>
    <t>771475014R00</t>
  </si>
  <si>
    <t>Obklad soklíku keram.rovných, tmel,výška 10 cm</t>
  </si>
  <si>
    <t>dle  v.c. 03 stav. cásti</t>
  </si>
  <si>
    <t>(5,325+5,22+2,85+5,325)*2-0,9*3</t>
  </si>
  <si>
    <t>(3,7+2,65+4,0+5,875+0,2+4,7+3,315+2,425+3,25)*2-0,9*4</t>
  </si>
  <si>
    <t>(3,05+1,25+3,05*2+2,2+3,0+1,85)*2+2,065-(0,8*2+0,7)</t>
  </si>
  <si>
    <t>535</t>
  </si>
  <si>
    <t>597623171R</t>
  </si>
  <si>
    <t>Sokl keramický - dle výberu investora</t>
  </si>
  <si>
    <t>126,035</t>
  </si>
  <si>
    <t>;ztratné 10%; 12,6035</t>
  </si>
  <si>
    <t>536</t>
  </si>
  <si>
    <t>998771202R00</t>
  </si>
  <si>
    <t>Presun hmot pro podlahy z dlaždic, výšky do 12 m</t>
  </si>
  <si>
    <t>776</t>
  </si>
  <si>
    <t>Podlahy povlakové</t>
  </si>
  <si>
    <t>537</t>
  </si>
  <si>
    <t>Penetrace podkladu</t>
  </si>
  <si>
    <t>50_776_</t>
  </si>
  <si>
    <t>1,41*3,2+4,8+20*1,4*(0,152+0,29)</t>
  </si>
  <si>
    <t>2.01 - podesta a mezipodesta, stupnice a podstup.</t>
  </si>
  <si>
    <t>pod sokly - podrobný výpocet viz položka lepení soklíku</t>
  </si>
  <si>
    <t>480,051*0,1</t>
  </si>
  <si>
    <t>538</t>
  </si>
  <si>
    <t>776521100R00</t>
  </si>
  <si>
    <t>Lepení povlak.podlah z pásu</t>
  </si>
  <si>
    <t>539</t>
  </si>
  <si>
    <t>2841024R</t>
  </si>
  <si>
    <t>Podlahovina vinyl homogenní 2mm - dle výberu investora (viz pr. c. 1 tz ASR - ASR-C_06)</t>
  </si>
  <si>
    <t>540</t>
  </si>
  <si>
    <t>776220110R00</t>
  </si>
  <si>
    <t>Lepení podlah z vinylu na stupnice rovné</t>
  </si>
  <si>
    <t>dle v.c. 04 stav. cásti</t>
  </si>
  <si>
    <t>1,4*20</t>
  </si>
  <si>
    <t>541</t>
  </si>
  <si>
    <t>776220200R00</t>
  </si>
  <si>
    <t>Lepení podlah z vinylu na podstupnice</t>
  </si>
  <si>
    <t>542</t>
  </si>
  <si>
    <t>1,4*20*(0,29+0,152)</t>
  </si>
  <si>
    <t>543</t>
  </si>
  <si>
    <t>771277807R00</t>
  </si>
  <si>
    <t xml:space="preserve">Hrana stupne - ukoncovací profil z eloxovaného hliníku pro ukoncení elastických obkladu a krytin (viz pr. c. 1 tz ASR - ASR-C_07)	</t>
  </si>
  <si>
    <t>20*1,4</t>
  </si>
  <si>
    <t>dle  v.c. 04 stav. cásti</t>
  </si>
  <si>
    <t>544</t>
  </si>
  <si>
    <t>776421100R00</t>
  </si>
  <si>
    <t>Lepení podlahových soklíku z PVC a vinylu</t>
  </si>
  <si>
    <t>vc. úpravy spáry mezi podlahou a soklem</t>
  </si>
  <si>
    <t>1,52*2+(17,14+6,654)*2-(1,2*2+0,9+0,8*2)+5,9*2+(9,0+6,1)*2-(0,8*2+0,7*2)+(5,54+7,65)*2-(0,8*2+0,7*2)</t>
  </si>
  <si>
    <t>(5,3+4,18+5,0+7,2+4,7*2+1,915+1,975)*2-(0,7+0,9+0,7+0,9+0,9*2+0,9*2)+0,435*2</t>
  </si>
  <si>
    <t>-(0,8*3+0,7+0,8*3+0,845*2+7,031+0,8+0,7+0,8*4+0,9)</t>
  </si>
  <si>
    <t>(3,465+4,4+0,175)*2-0,8+((2,81+2,1)*2-(0,8*3+0,7*2))*3</t>
  </si>
  <si>
    <t>(4,9*2+2,74*2+0,185*4)*2-0,8*6</t>
  </si>
  <si>
    <t>(2,74+4,9)*4+0,185*8-0,8*6</t>
  </si>
  <si>
    <t>(2,74+4,9+0,185*2)*4-0,8*6</t>
  </si>
  <si>
    <t>(4,785+4,7)*2-(2,83+0,8)+(4,02+3,95)*2+0,185*4-0,8*3</t>
  </si>
  <si>
    <t>(4,0*2+3,97+5,15+0,185*3)*2-(0,8*5+0,7)</t>
  </si>
  <si>
    <t>(3,23+1,985)*2-(0,9+1,08+0,7)</t>
  </si>
  <si>
    <t>3,2*2+5,71+10*0,152</t>
  </si>
  <si>
    <t>2.01</t>
  </si>
  <si>
    <t>7,45+17,64*2+1,4+4,01+1,2+3,2+0,45+21,225+13,475+0,189*6+(5,95+15,16)*2</t>
  </si>
  <si>
    <t>545</t>
  </si>
  <si>
    <t>2841025R</t>
  </si>
  <si>
    <t>Soklík z podlahoviny vinyl homogenní 2mm - dle výberu investora</t>
  </si>
  <si>
    <t>480,051</t>
  </si>
  <si>
    <t>;ztratné 10%; 48,0051</t>
  </si>
  <si>
    <t>546</t>
  </si>
  <si>
    <t>776101101R00</t>
  </si>
  <si>
    <t>Vysávání podlah prum.vysavacem pod povlak.podlahy</t>
  </si>
  <si>
    <t>547</t>
  </si>
  <si>
    <t>776972127R00</t>
  </si>
  <si>
    <t>R6 - Vnitrní cistící zóna, kompletní provedení - dle popisu v pd (podrobne viz tab. truhl. a ruz. výrobku)</t>
  </si>
  <si>
    <t>1,2*0,425</t>
  </si>
  <si>
    <t>dle pud. 1.np - v.c.03</t>
  </si>
  <si>
    <t>548</t>
  </si>
  <si>
    <t>R7+R9 - Vnejší cistící zóna, kompletní provedení - dle popisu v pd (podrobne viz tab. truhl. a ruz. výrobku)</t>
  </si>
  <si>
    <t>1,2*0,425+1,5*0,45</t>
  </si>
  <si>
    <t>549</t>
  </si>
  <si>
    <t>998776202R00</t>
  </si>
  <si>
    <t>Presun hmot pro podlahy povlakové, výšky do 12 m</t>
  </si>
  <si>
    <t>781</t>
  </si>
  <si>
    <t>Obklady (keramické)</t>
  </si>
  <si>
    <t>550</t>
  </si>
  <si>
    <t>784011111R00</t>
  </si>
  <si>
    <t>Oprášení/ometení podkladu</t>
  </si>
  <si>
    <t>50_781_</t>
  </si>
  <si>
    <t>SO01_50_78_</t>
  </si>
  <si>
    <t>(3,075+1,2)*2*2,4-0,7*2,1</t>
  </si>
  <si>
    <t>(2,625+1,2)*2*2,4-0,7*2,1</t>
  </si>
  <si>
    <t>1.09</t>
  </si>
  <si>
    <t>(3,05+1,2)*2*2,4-0,7*2,1</t>
  </si>
  <si>
    <t>(2,65+1,2)*2*2.4-0,7*2,1</t>
  </si>
  <si>
    <t>1.12</t>
  </si>
  <si>
    <t>(2,0+1,2)*2*2,4-0,7*2,1</t>
  </si>
  <si>
    <t>1.18</t>
  </si>
  <si>
    <t>(3,0+1,2)*2*2,4-0,7*2,1</t>
  </si>
  <si>
    <t>(5,085+11,7225*2)*2,0+0,205*2,0-(0,95*2,0+2,35*0,905*2)+0,25*(0,905*2+2,35)*2</t>
  </si>
  <si>
    <t>(1,05+1,05)*2*2,4-0,7*2,1</t>
  </si>
  <si>
    <t>1.31</t>
  </si>
  <si>
    <t>(0,55*2+1,165)*2,15</t>
  </si>
  <si>
    <t>1.25</t>
  </si>
  <si>
    <t>(1,95+1,0)*2*2,5-0,7*2,1</t>
  </si>
  <si>
    <t>2.05</t>
  </si>
  <si>
    <t>(1,62+2,1)*2*2,5-0,7*2,1</t>
  </si>
  <si>
    <t>(1,8+0,995)*2*2,5-0,7*2,1</t>
  </si>
  <si>
    <t>2.10</t>
  </si>
  <si>
    <t>(2,1+1,62)*2*2,5-0,7*2,1</t>
  </si>
  <si>
    <t>(1,75+0,995)*2*2,5-0,7*2,1</t>
  </si>
  <si>
    <t>2.15</t>
  </si>
  <si>
    <t>(1,47+1,93)*2*2,5-0,7*2,1</t>
  </si>
  <si>
    <t>(1,2+1,75)*2*2,5-0,7*2,1</t>
  </si>
  <si>
    <t>2.24</t>
  </si>
  <si>
    <t>(2,115+2,1)*2*2,5-0,7*2,1</t>
  </si>
  <si>
    <t>551</t>
  </si>
  <si>
    <t>781101210R00</t>
  </si>
  <si>
    <t>Penetrace podkladu pod obklady</t>
  </si>
  <si>
    <t>552</t>
  </si>
  <si>
    <t>781475114RU2</t>
  </si>
  <si>
    <t>Obklad vnitrní sten keramický, vc. spárování a pruniku</t>
  </si>
  <si>
    <t>292,05125</t>
  </si>
  <si>
    <t>podrobne viz výpocet penetrace</t>
  </si>
  <si>
    <t>553</t>
  </si>
  <si>
    <t>597623131</t>
  </si>
  <si>
    <t>Keramický obklad - dle výberu investora</t>
  </si>
  <si>
    <t>;ztratné 10%; 29,205125</t>
  </si>
  <si>
    <t>554</t>
  </si>
  <si>
    <t>998781202R00</t>
  </si>
  <si>
    <t>Presun hmot pro obklady keramické, výšky do 12 m</t>
  </si>
  <si>
    <t>784</t>
  </si>
  <si>
    <t>Malby</t>
  </si>
  <si>
    <t>555</t>
  </si>
  <si>
    <t>784121101R00</t>
  </si>
  <si>
    <t>Penetrace podkladu náterem</t>
  </si>
  <si>
    <t>50_784_</t>
  </si>
  <si>
    <t>(1,25+3,05)*2*2,925+0,185*(1,16+0,705*2)</t>
  </si>
  <si>
    <t>2.19 - omyvatelná malba</t>
  </si>
  <si>
    <t>stropy - dle tab. m. na v.c. 03+04 - 1.np+2.np</t>
  </si>
  <si>
    <t>899,4+437,4-115</t>
  </si>
  <si>
    <t>((1,8+3,05)*2,925)*2</t>
  </si>
  <si>
    <t>(2,1*6*3,075)*2</t>
  </si>
  <si>
    <t>((4,0+3,7)*2,7)*2</t>
  </si>
  <si>
    <t>((7,45+3,05+3,05+4,4+3,2)*2,925)*2</t>
  </si>
  <si>
    <t>((17,19*2+4,9*5+2,1*2)*3,075)*2</t>
  </si>
  <si>
    <t>(5,085+5,09+12,0*4)*6,205</t>
  </si>
  <si>
    <t>(9,099+29,875+9,099+0,55+2,17*2)*4,392</t>
  </si>
  <si>
    <t>0,22*(4,0+0,905*2)</t>
  </si>
  <si>
    <t>4,475*(3,28*2+1,2)</t>
  </si>
  <si>
    <t>7,65*2,9*2+(2,65+3,0+7,35+5,34)*2,9</t>
  </si>
  <si>
    <t>0,3*(1,0+2,25*2)*2-0,7*2,1*4+0,2*(1,67*4+2,25*2)</t>
  </si>
  <si>
    <t>(5,325*2+4,92*2+2,85*2)*2,765+0,3*(1,2+2,25*2)</t>
  </si>
  <si>
    <t>-(2,83*2,395+9,31*0,77-4*2)</t>
  </si>
  <si>
    <t>(13,462*2+4,4)*2,975-(7,15*2,85+7,24*0,955+4,765*0,955-4*3)</t>
  </si>
  <si>
    <t>-(3,57*2,395+3,33*2,395-4*2)</t>
  </si>
  <si>
    <t>-(4,52*1,0*3-4*3)+0,185*(4,52*3+1,0*6+0,8*12+2,395*24)</t>
  </si>
  <si>
    <t>556</t>
  </si>
  <si>
    <t>784115412R00</t>
  </si>
  <si>
    <t>Malba, bílá, bez penetrace, 2 x</t>
  </si>
  <si>
    <t>4292,1302-25,63045</t>
  </si>
  <si>
    <t>557</t>
  </si>
  <si>
    <t>784124112R00</t>
  </si>
  <si>
    <t>Malba omyvatelná, bez penetr. 2 x</t>
  </si>
  <si>
    <t>2.19</t>
  </si>
  <si>
    <t>786</t>
  </si>
  <si>
    <t>Calounické úpravy</t>
  </si>
  <si>
    <t>558</t>
  </si>
  <si>
    <t>786613362R0R</t>
  </si>
  <si>
    <t>R1 - Vnejší screenová roleta, kompletní provedení vc. boxu, pohonu a všech doplnku a detailu-dle popisu v pd (podrobne viz  tab. truhl. a ruz. výrob.)</t>
  </si>
  <si>
    <t>50_786_</t>
  </si>
  <si>
    <t>559</t>
  </si>
  <si>
    <t>786613364R0R</t>
  </si>
  <si>
    <t>R2 - Vnejší screenová roleta, kompletní provedení vc. boxu, pohonu a všech doplnku a detailu-dle popisu v pd (podrobne viz  tab. truhl. a ruz. výrob.)</t>
  </si>
  <si>
    <t>560</t>
  </si>
  <si>
    <t>998786202R00</t>
  </si>
  <si>
    <t>Presun hmot pro zastin. techniku, výšky do 12 m</t>
  </si>
  <si>
    <t>787</t>
  </si>
  <si>
    <t>Zasklívání</t>
  </si>
  <si>
    <t>561</t>
  </si>
  <si>
    <t>787185223R0R</t>
  </si>
  <si>
    <t>Žáruvzdorné kalené bílé sklo v podlaze</t>
  </si>
  <si>
    <t>50_787_</t>
  </si>
  <si>
    <t>kompletní propvedení vc. dodávky skla</t>
  </si>
  <si>
    <t>3,711</t>
  </si>
  <si>
    <t>dle v.c. 04 - stav. cásti - 2.np</t>
  </si>
  <si>
    <t>562</t>
  </si>
  <si>
    <t>998787202R00</t>
  </si>
  <si>
    <t>Presun hmot pro zasklívání, výšky do 12 m</t>
  </si>
  <si>
    <t>795</t>
  </si>
  <si>
    <t>Lokální vytápení</t>
  </si>
  <si>
    <t>563</t>
  </si>
  <si>
    <t>795121111R00</t>
  </si>
  <si>
    <t>Osazení  kamen,tuhá paliva do 100 kg</t>
  </si>
  <si>
    <t>50_795_</t>
  </si>
  <si>
    <t>SO01_50_79_</t>
  </si>
  <si>
    <t>564</t>
  </si>
  <si>
    <t>48419120R</t>
  </si>
  <si>
    <t xml:space="preserve">R4 - Krbová vložka 10 kW prum. 200, cerná, komplet - dle popisu v pd (viz pr. c. 1 tz ASR - PI_04)	</t>
  </si>
  <si>
    <t>565</t>
  </si>
  <si>
    <t>998795202R00</t>
  </si>
  <si>
    <t>Presun hmot pro lokální vytápení, výšky do 12 m</t>
  </si>
  <si>
    <t>7D14A_1</t>
  </si>
  <si>
    <t>ZDRAVOTNE TECHNICKÉ INSTALACE_venkovní cást</t>
  </si>
  <si>
    <t>566</t>
  </si>
  <si>
    <t>119001201R00</t>
  </si>
  <si>
    <t>Úprava zemin vápnem</t>
  </si>
  <si>
    <t>50_7D14A_1_</t>
  </si>
  <si>
    <t>SO01_50_7D_</t>
  </si>
  <si>
    <t>957,6*0,5</t>
  </si>
  <si>
    <t>567</t>
  </si>
  <si>
    <t>131201112R00</t>
  </si>
  <si>
    <t>Hloubení nezapaž. jam hor.3 do 1000 m3, STROJNÌ</t>
  </si>
  <si>
    <t>pro nádrže</t>
  </si>
  <si>
    <t>19,63*2,7+39,3*3,4</t>
  </si>
  <si>
    <t>pro vsaky</t>
  </si>
  <si>
    <t>22*0,9+78*1,4*1,2</t>
  </si>
  <si>
    <t>337,461*0,5</t>
  </si>
  <si>
    <t>569</t>
  </si>
  <si>
    <t>vodovod</t>
  </si>
  <si>
    <t>18,25*1,1*1,55+82*0,8*1,1</t>
  </si>
  <si>
    <t>kanalizace</t>
  </si>
  <si>
    <t>1,3*(4*4,05+46*3,15+291,1+13*2,3+8*2,5+24*2,2+37*1,5+14*2,5)</t>
  </si>
  <si>
    <t>570</t>
  </si>
  <si>
    <t>Prípl.za lepivost,hloubení rýh 200cm,hor.3,STROJNE</t>
  </si>
  <si>
    <t>942,29625/2</t>
  </si>
  <si>
    <t>571</t>
  </si>
  <si>
    <t>151101101R00</t>
  </si>
  <si>
    <t>Pažení a rozeprení sten rýh - príložné - hl.do 2 m</t>
  </si>
  <si>
    <t>572</t>
  </si>
  <si>
    <t>151101111R00</t>
  </si>
  <si>
    <t>Odstranení pažení sten rýh - príložné - hl. do 2 m</t>
  </si>
  <si>
    <t>573</t>
  </si>
  <si>
    <t>151101102R00</t>
  </si>
  <si>
    <t>Pažení a rozeprení sten rýh - príložné - hl.do 4 m</t>
  </si>
  <si>
    <t>574</t>
  </si>
  <si>
    <t>151101112R00</t>
  </si>
  <si>
    <t>Odstranení pažení sten rýh - príložné - hl. do 4 m</t>
  </si>
  <si>
    <t>575</t>
  </si>
  <si>
    <t>162201101R00</t>
  </si>
  <si>
    <t>Vodorovné premístení výkopku z hor.1-4 do 20 m</t>
  </si>
  <si>
    <t>337,461+942,29625+957,6</t>
  </si>
  <si>
    <t>na mezideponii a zpet k zásypu</t>
  </si>
  <si>
    <t>576</t>
  </si>
  <si>
    <t>337,461+942,29625-957,6</t>
  </si>
  <si>
    <t>577</t>
  </si>
  <si>
    <t>322,15725*10</t>
  </si>
  <si>
    <t>578</t>
  </si>
  <si>
    <t>322,15725</t>
  </si>
  <si>
    <t>579</t>
  </si>
  <si>
    <t>Nakládání výkopku z hor.1-4 v množství nad 100 m3</t>
  </si>
  <si>
    <t>k dovozu na skládku</t>
  </si>
  <si>
    <t>957,6</t>
  </si>
  <si>
    <t>z mezideponie zpet k zásypu</t>
  </si>
  <si>
    <t>580</t>
  </si>
  <si>
    <t>nádrže</t>
  </si>
  <si>
    <t>143,1</t>
  </si>
  <si>
    <t>vsaky</t>
  </si>
  <si>
    <t>77,6</t>
  </si>
  <si>
    <t>61,8</t>
  </si>
  <si>
    <t>675,1</t>
  </si>
  <si>
    <t>581</t>
  </si>
  <si>
    <t>175100020RAD</t>
  </si>
  <si>
    <t>Obsyp potrubí pískem</t>
  </si>
  <si>
    <t>28,7</t>
  </si>
  <si>
    <t>107,6</t>
  </si>
  <si>
    <t>582</t>
  </si>
  <si>
    <t>175101209R00</t>
  </si>
  <si>
    <t>Príplatek za prohození sypaniny pro obsyp objektu</t>
  </si>
  <si>
    <t>583</t>
  </si>
  <si>
    <t>181300010RAA</t>
  </si>
  <si>
    <t>Rozprostrení ornice v rovine tlouštka 15 cm</t>
  </si>
  <si>
    <t>osetí trávou</t>
  </si>
  <si>
    <t>584</t>
  </si>
  <si>
    <t>212971110R00</t>
  </si>
  <si>
    <t>Opláštení trativodu z geotext., do sklonu 1:2,5</t>
  </si>
  <si>
    <t>39*2*2,5*1,15+(12+9*0,5)*1,15</t>
  </si>
  <si>
    <t>585</t>
  </si>
  <si>
    <t>212531111R00</t>
  </si>
  <si>
    <t>Výpln odvodnov. trativodu a žeber kam. hrube drcen. 22-32/32-63 mm</t>
  </si>
  <si>
    <t>(4+4+34,5+35,5)*0,5+12*0,5</t>
  </si>
  <si>
    <t>586</t>
  </si>
  <si>
    <t>212561111R00</t>
  </si>
  <si>
    <t>Výpln odvodnov. trativodu kam. hrubì drcen. 16 mm</t>
  </si>
  <si>
    <t>filtracní vrstva vsaku</t>
  </si>
  <si>
    <t>39*2*1,2*0,15</t>
  </si>
  <si>
    <t>587</t>
  </si>
  <si>
    <t>451572111R00</t>
  </si>
  <si>
    <t>Lože pod potrubí z kameniva teženého 0 - 4 mm</t>
  </si>
  <si>
    <t>dle sit. a podelných rezu</t>
  </si>
  <si>
    <t>8,6</t>
  </si>
  <si>
    <t>588</t>
  </si>
  <si>
    <t>452311141R00</t>
  </si>
  <si>
    <t>Desky podkladní pod nádrže z betonu C 16/20</t>
  </si>
  <si>
    <t>589</t>
  </si>
  <si>
    <t>451575111R00</t>
  </si>
  <si>
    <t>Podkladní vrstva tl. do 25 cm ze šterku</t>
  </si>
  <si>
    <t>590</t>
  </si>
  <si>
    <t>597093473R0R</t>
  </si>
  <si>
    <t>Napojení na liniový žlab / drenážní šachtu</t>
  </si>
  <si>
    <t>591</t>
  </si>
  <si>
    <t>871171121R00</t>
  </si>
  <si>
    <t>Montáž trubek polyetylenových ve výkopu d 40 mm</t>
  </si>
  <si>
    <t>vc. tvarovek</t>
  </si>
  <si>
    <t>592</t>
  </si>
  <si>
    <t>286136742</t>
  </si>
  <si>
    <t>Potubí PE-HD d32 SDR11</t>
  </si>
  <si>
    <t>;ztratné 5%; 4,1</t>
  </si>
  <si>
    <t>593</t>
  </si>
  <si>
    <t>871181121R00</t>
  </si>
  <si>
    <t>Montáž trubek polyetylenových ve výkopu d 50 mm</t>
  </si>
  <si>
    <t>594</t>
  </si>
  <si>
    <t>286136748</t>
  </si>
  <si>
    <t>Potubí PE-HD d50 SDR11</t>
  </si>
  <si>
    <t>18,2</t>
  </si>
  <si>
    <t>;ztratné 5%; 0,91</t>
  </si>
  <si>
    <t>595</t>
  </si>
  <si>
    <t>879172199R00</t>
  </si>
  <si>
    <t>Napojení na stávající vodovodní prípojku ocel DN50 nadp odlahou stávajícího objektu (vysazení odbocky DN50/40)</t>
  </si>
  <si>
    <t>596</t>
  </si>
  <si>
    <t>892233111R00</t>
  </si>
  <si>
    <t>Desinfekce vodovodního potrubí DN 70</t>
  </si>
  <si>
    <t>82+18,2</t>
  </si>
  <si>
    <t>597</t>
  </si>
  <si>
    <t>899731113R00</t>
  </si>
  <si>
    <t>Vodic signalizacní CYY</t>
  </si>
  <si>
    <t>598</t>
  </si>
  <si>
    <t>899721112R00</t>
  </si>
  <si>
    <t>Fólie výstražná</t>
  </si>
  <si>
    <t>599</t>
  </si>
  <si>
    <t>892241111R00</t>
  </si>
  <si>
    <t>Tlaková zkouška vodovodního potrubí DN 80</t>
  </si>
  <si>
    <t>600</t>
  </si>
  <si>
    <t>894412311RCB</t>
  </si>
  <si>
    <t>Šachta, DN 1000 stena 120 mm,</t>
  </si>
  <si>
    <t>hloubka dna 4,07 m, komplet vc. zem. prací a podkladu</t>
  </si>
  <si>
    <t>601</t>
  </si>
  <si>
    <t>894412312RBB</t>
  </si>
  <si>
    <t>Šachta, DN 1000 stena 120 mm</t>
  </si>
  <si>
    <t>hloubka dna 3,83 m, komplet vc. zem. prací a podkladu</t>
  </si>
  <si>
    <t>602</t>
  </si>
  <si>
    <t>603</t>
  </si>
  <si>
    <t>894412312RAB</t>
  </si>
  <si>
    <t>hloubka dna 2,55 m, komplet vc. zem. prací a podkladu</t>
  </si>
  <si>
    <t>604</t>
  </si>
  <si>
    <t>894412312RAA</t>
  </si>
  <si>
    <t>Šachta, DN 1000 stìna 120 mm</t>
  </si>
  <si>
    <t>hloubka dna 2,1 m, komplet vc. zem. prací a podkladu</t>
  </si>
  <si>
    <t>605</t>
  </si>
  <si>
    <t>896211111R00</t>
  </si>
  <si>
    <t>Vnitrní spadište na potrubí DN150 v šachte, vcetne kotvení do steny (plast/SKL), H=2,0m</t>
  </si>
  <si>
    <t>606</t>
  </si>
  <si>
    <t>896211211R00</t>
  </si>
  <si>
    <t>Vnitrní spadište na potrubí DN150 v šachte, vcetne kotvení do steny (plast/SKL), H=2,5m</t>
  </si>
  <si>
    <t>607</t>
  </si>
  <si>
    <t>892571111R00</t>
  </si>
  <si>
    <t>Zkouška tesnosti kanalizace DN do 200, vodou</t>
  </si>
  <si>
    <t>608</t>
  </si>
  <si>
    <t>892855115R00</t>
  </si>
  <si>
    <t>Kontrola kanalizace TV kamerou do 500 m</t>
  </si>
  <si>
    <t>609</t>
  </si>
  <si>
    <t>871313121RU2</t>
  </si>
  <si>
    <t>Montáž trub kanaliz. z plastu, hrdlových, DN 150</t>
  </si>
  <si>
    <t>vcetne dodávky trub KG SN10 125</t>
  </si>
  <si>
    <t>610</t>
  </si>
  <si>
    <t>871313121RU3</t>
  </si>
  <si>
    <t>vcetne dodávky trub KG SN10 150</t>
  </si>
  <si>
    <t>611</t>
  </si>
  <si>
    <t>871353121R00</t>
  </si>
  <si>
    <t>Montáž trub kanaliz. z plastu, hrdlových, DN 200</t>
  </si>
  <si>
    <t>612</t>
  </si>
  <si>
    <t>286147831</t>
  </si>
  <si>
    <t>Potrubí kanalizacní SN 10 DN 200</t>
  </si>
  <si>
    <t>;ztratné 5%; 7,35</t>
  </si>
  <si>
    <t>613</t>
  </si>
  <si>
    <t>870200020R00</t>
  </si>
  <si>
    <t>Napojení na stávající potrubí DN300 - vysazení nové šachty</t>
  </si>
  <si>
    <t>614</t>
  </si>
  <si>
    <t>899000002RAR</t>
  </si>
  <si>
    <t>Akumulacní nádrž (ref. prefa žb dno+zákrytová deska), vcetne otvoru pro nátok a odtok (2x d160 PVC)</t>
  </si>
  <si>
    <t>Užitný akumulacní objem (pod nátok) min. 10,5m3. Referencní rozmery (svétlé, vnitrní, šxlxh) 2,8x2,4x1,9m. Tlouštka steny/dna min. 0,14m. Vstup pres 1</t>
  </si>
  <si>
    <t>615</t>
  </si>
  <si>
    <t>Akumulacní nádrž (ref. prefa žb dno+zákrytová deska), vcetne otvoru pro nátok (2x d125 PVC).</t>
  </si>
  <si>
    <t>Užitný akumulacní objem (pod nátok) min. 2,5m3. Referencní rozmery (svetlé, vnitrní, DNxh) DN2200x1,5m. Tlouštka steny/dna min. 0,14m. Vstup pres 1x k</t>
  </si>
  <si>
    <t>616</t>
  </si>
  <si>
    <t>899000999RAR</t>
  </si>
  <si>
    <t>Bourání odlucovace vc. likvidace</t>
  </si>
  <si>
    <t>617</t>
  </si>
  <si>
    <t>722265325R00</t>
  </si>
  <si>
    <t>Vodomerná sestava ve složení 2x uzáver 6/4", filtr 6/4", zpetná klapka 6/4", vcetne vodomeru DN25, Q3=3,6m3/h, vcetne pripojovacího (redukcního)</t>
  </si>
  <si>
    <t>šroubení. Sestava osazena na nových konzolách (2-4ks) na stene</t>
  </si>
  <si>
    <t>618</t>
  </si>
  <si>
    <t>979901199R00</t>
  </si>
  <si>
    <t>Odstranení stávající šachty a navazujícího potrubí (cca 20m) vc. likvidace</t>
  </si>
  <si>
    <t>619</t>
  </si>
  <si>
    <t>724131111R00</t>
  </si>
  <si>
    <t>Cerpadlo na deštovou vodu do 2kW, 230V osazeno trvale v akumulacní nádrži. Vcetne predrazeného filtru a ochrany proti behu za sucha. Vcetne tlakového</t>
  </si>
  <si>
    <t>spínání (pri poklesu tlaku ve výtlacném potrubí).</t>
  </si>
  <si>
    <t>620</t>
  </si>
  <si>
    <t>Stavební prípomoce - odstranení a obnova podlahy objektu, prostupy vc. utesnení</t>
  </si>
  <si>
    <t>621</t>
  </si>
  <si>
    <t>722224211R00</t>
  </si>
  <si>
    <t>Ventil mrazuvzdorný G 1/2 se šroubením na hadici</t>
  </si>
  <si>
    <t>622</t>
  </si>
  <si>
    <t>722223143R00</t>
  </si>
  <si>
    <t>Vypouštecí ventil DN 20 mm</t>
  </si>
  <si>
    <t>623</t>
  </si>
  <si>
    <t>998276101R00</t>
  </si>
  <si>
    <t>Presun hmot, trubní vedení plastová, otevr. výkop</t>
  </si>
  <si>
    <t>7D14a_2</t>
  </si>
  <si>
    <t>ZDRAVOTNE TECHNICKÉ INSTALACE_vnitrní cást</t>
  </si>
  <si>
    <t>624</t>
  </si>
  <si>
    <t>50_7D14a_2_</t>
  </si>
  <si>
    <t>(243-108)*1*0,8+108*1,6*1,0</t>
  </si>
  <si>
    <t>625</t>
  </si>
  <si>
    <t>280,8/2</t>
  </si>
  <si>
    <t>626</t>
  </si>
  <si>
    <t>627</t>
  </si>
  <si>
    <t>628</t>
  </si>
  <si>
    <t>161101101R00</t>
  </si>
  <si>
    <t>Svislé premístení výkopku z hor.1-4 do 2,5 m</t>
  </si>
  <si>
    <t>629</t>
  </si>
  <si>
    <t>280,8+183,6</t>
  </si>
  <si>
    <t>630</t>
  </si>
  <si>
    <t>280,8-183,6</t>
  </si>
  <si>
    <t>631</t>
  </si>
  <si>
    <t>(280,8-183,6)*10</t>
  </si>
  <si>
    <t>632</t>
  </si>
  <si>
    <t>633</t>
  </si>
  <si>
    <t>183,6</t>
  </si>
  <si>
    <t>634</t>
  </si>
  <si>
    <t>Obsyp potrubí pískem 0-22</t>
  </si>
  <si>
    <t>vc. dovozu písku</t>
  </si>
  <si>
    <t>(243-108)*0,35*0,8+108*1,0*0,35</t>
  </si>
  <si>
    <t>635</t>
  </si>
  <si>
    <t>280,8-(75,6+21,6)</t>
  </si>
  <si>
    <t>636</t>
  </si>
  <si>
    <t>342264101R00</t>
  </si>
  <si>
    <t>Osazení reviz. dvírek do SDK podhledu, do 0,25 m2</t>
  </si>
  <si>
    <t>9+3</t>
  </si>
  <si>
    <t>637</t>
  </si>
  <si>
    <t>553476641</t>
  </si>
  <si>
    <t>Dvírka revizní do SDK 300 x 300 mm, tl. 12,5 mm</t>
  </si>
  <si>
    <t>638</t>
  </si>
  <si>
    <t>553476640</t>
  </si>
  <si>
    <t>Dvírka revizní do SDK 200 x 200 mm, tl. 12,5 mm</t>
  </si>
  <si>
    <t>639</t>
  </si>
  <si>
    <t>342263410R00</t>
  </si>
  <si>
    <t>Osazení revizních dvírek do SDK prícek, do 0,25 m2</t>
  </si>
  <si>
    <t>640</t>
  </si>
  <si>
    <t>553476641R</t>
  </si>
  <si>
    <t>Dvírka revizní do SDK 300 x 200 mm, tl. 12,5 mm</t>
  </si>
  <si>
    <t>641</t>
  </si>
  <si>
    <t>342263410R0R</t>
  </si>
  <si>
    <t>Osazení revizních dvírek do zdiva, do 0,25 m2</t>
  </si>
  <si>
    <t>642</t>
  </si>
  <si>
    <t>553476642R</t>
  </si>
  <si>
    <t>643</t>
  </si>
  <si>
    <t>(243-108)*0,1*0,8+108*1,0*0,1</t>
  </si>
  <si>
    <t>644</t>
  </si>
  <si>
    <t>103+69+51,5+19,5</t>
  </si>
  <si>
    <t>645</t>
  </si>
  <si>
    <t>899102111RTR</t>
  </si>
  <si>
    <t>Osazení hliníkového poklopu 600x900mm v podlaze, vcetne dodávky (viz pr. c. 1 tz ASR - ASR-C_12)</t>
  </si>
  <si>
    <t>646</t>
  </si>
  <si>
    <t>910      R0R</t>
  </si>
  <si>
    <t>Rozbor kvality vody</t>
  </si>
  <si>
    <t>647</t>
  </si>
  <si>
    <t>597093472R0R</t>
  </si>
  <si>
    <t>Napojení na liniový žlab (ze dna) DN100</t>
  </si>
  <si>
    <t>648</t>
  </si>
  <si>
    <t>Stavební prípomoce - drážky, prostupy, vc. zapravení, ucpávky, závesový, kotevní a montážní materiál</t>
  </si>
  <si>
    <t>649</t>
  </si>
  <si>
    <t>Presun hmot HSV pro budovy výšky do 12 m</t>
  </si>
  <si>
    <t>650</t>
  </si>
  <si>
    <t>712348105RT3</t>
  </si>
  <si>
    <t>Povlaková krytina strech do 10°, prostup parozábranou s manžetou z asfaltového pásu</t>
  </si>
  <si>
    <t>prumer prostupu 110 mm</t>
  </si>
  <si>
    <t>651</t>
  </si>
  <si>
    <t>712348105RT2</t>
  </si>
  <si>
    <t>prumer prostupu 75 mm</t>
  </si>
  <si>
    <t>652</t>
  </si>
  <si>
    <t>712378105RT2</t>
  </si>
  <si>
    <t>Povlaková krytina strech do 10°, fólie, prostup s manžetou PVC</t>
  </si>
  <si>
    <t>653</t>
  </si>
  <si>
    <t>712378105RT3</t>
  </si>
  <si>
    <t>654</t>
  </si>
  <si>
    <t>655</t>
  </si>
  <si>
    <t>713571111R00</t>
  </si>
  <si>
    <t>Protipožární manžety ci jiná opatrení dle požární zprávy pro jednotlivá potrubí (20-50mm)</t>
  </si>
  <si>
    <t>656</t>
  </si>
  <si>
    <t>713571116R00</t>
  </si>
  <si>
    <t>Protipožární manžety ci jiná opatrení dle požární zprávy pro jednotlivá potrubí (DN50-125)</t>
  </si>
  <si>
    <t>657</t>
  </si>
  <si>
    <t>658</t>
  </si>
  <si>
    <t>721177704R00</t>
  </si>
  <si>
    <t>Potrubí odhlucnené DN70</t>
  </si>
  <si>
    <t>Potrubí plast se zvýšenou hodnout hlukového útlumu, vcetne tvarovek, tesnení, vazelíny, montáže, kotvicích prvku… bez prorezu</t>
  </si>
  <si>
    <t>659</t>
  </si>
  <si>
    <t>721177124R00</t>
  </si>
  <si>
    <t>Cistící kus DN 70</t>
  </si>
  <si>
    <t>660</t>
  </si>
  <si>
    <t>721177724R00</t>
  </si>
  <si>
    <t>Cisticí kus DN 70 (odhluc. potrubí)</t>
  </si>
  <si>
    <t>661</t>
  </si>
  <si>
    <t>721177125R00</t>
  </si>
  <si>
    <t>Cistící kus DN 100</t>
  </si>
  <si>
    <t>662</t>
  </si>
  <si>
    <t>721177126R00</t>
  </si>
  <si>
    <t>Cistící kus DN 125</t>
  </si>
  <si>
    <t>663</t>
  </si>
  <si>
    <t>721176114R00</t>
  </si>
  <si>
    <t>Potrubí HT odpadní svislé, D 75 x 1,9 mm</t>
  </si>
  <si>
    <t>Odpadní potrubí HT, vcetne tvarovek, tesnení, vazelíny, montáže, kotvicích prvku… bez prorezu</t>
  </si>
  <si>
    <t>664</t>
  </si>
  <si>
    <t>721176103R00</t>
  </si>
  <si>
    <t>Potrubí HT pripojovací, D 50 x 1,8 mm</t>
  </si>
  <si>
    <t>Prípojné potrubí HT, horizontální cást odpadního potrubí, vcetne tvarovek, tesnení, vazelíny, montáže, kotvicích prvku, drážek… bez prorezu</t>
  </si>
  <si>
    <t>665</t>
  </si>
  <si>
    <t>721176116R00</t>
  </si>
  <si>
    <t>Potrubí HT odpadní svislé, D 125 x 3,1 mm</t>
  </si>
  <si>
    <t>666</t>
  </si>
  <si>
    <t>721176105R00</t>
  </si>
  <si>
    <t>Potrubí HT pripojovací, D 110 x 2,7 mm</t>
  </si>
  <si>
    <t>667</t>
  </si>
  <si>
    <t>721176224R00</t>
  </si>
  <si>
    <t>Potrubí KG svodné (ležaté) v zemi, D 160 x 4,0 mm SN8</t>
  </si>
  <si>
    <t>Svodné potrubí KG - Odpadní potrubí v zemi, vcetne tvarovek, tesnení, vazelíny, montáže, kotvicích prvku… bez prorezu</t>
  </si>
  <si>
    <t>668</t>
  </si>
  <si>
    <t>721176223R00</t>
  </si>
  <si>
    <t>Potrubí KG svodné (ležaté) v zemi, D 125 x 3,2 mm SN8</t>
  </si>
  <si>
    <t>669</t>
  </si>
  <si>
    <t>Potrubí KG svodné (ležaté) v zemi, D 125 x 3,2 mm SN10</t>
  </si>
  <si>
    <t>670</t>
  </si>
  <si>
    <t>721176222R00</t>
  </si>
  <si>
    <t>Potrubí KG svodné (ležaté) v zemi, D 110 x 3,2 mm SN8</t>
  </si>
  <si>
    <t>671</t>
  </si>
  <si>
    <t>721176115R00</t>
  </si>
  <si>
    <t>Potrubí HT odpadní svislé, D 110 x 2,7 mm</t>
  </si>
  <si>
    <t>672</t>
  </si>
  <si>
    <t>721177128R00</t>
  </si>
  <si>
    <t>Cisticí kus DN 150</t>
  </si>
  <si>
    <t>673</t>
  </si>
  <si>
    <t>721401199R0R</t>
  </si>
  <si>
    <t>Izolace pro potrubí dilatacní / proti rosení tl.5-9 mm; DN 50-125</t>
  </si>
  <si>
    <t>674</t>
  </si>
  <si>
    <t>721194105R00</t>
  </si>
  <si>
    <t>Vyvedení odpadních výpustek, do D 50</t>
  </si>
  <si>
    <t>17+2+2+2+4+3</t>
  </si>
  <si>
    <t>675</t>
  </si>
  <si>
    <t>721194109R00</t>
  </si>
  <si>
    <t>Vyvedení odpadních výpustek do D 110</t>
  </si>
  <si>
    <t>8+3</t>
  </si>
  <si>
    <t>676</t>
  </si>
  <si>
    <t>721273150RT1</t>
  </si>
  <si>
    <t>Hlavice ventilacní privetrávací</t>
  </si>
  <si>
    <t>privzdušnovací ventil, D 50/75/110 mm</t>
  </si>
  <si>
    <t>677</t>
  </si>
  <si>
    <t>721273200RT2</t>
  </si>
  <si>
    <t>Souprava ventilacní strešní</t>
  </si>
  <si>
    <t>souprava vetrací hlavice PP  D 75 mm</t>
  </si>
  <si>
    <t>678</t>
  </si>
  <si>
    <t>721273200RT3</t>
  </si>
  <si>
    <t>souprava vetrací hlavice PP  D 110 mm</t>
  </si>
  <si>
    <t>679</t>
  </si>
  <si>
    <t>721223420RT1</t>
  </si>
  <si>
    <t>Vpust podlahová se zápachovou uzáverkou</t>
  </si>
  <si>
    <t>mrížka litina, izolacní souprava</t>
  </si>
  <si>
    <t>680</t>
  </si>
  <si>
    <t>721231331R00</t>
  </si>
  <si>
    <t>Vyhrívací sada pro strešní vtoky</t>
  </si>
  <si>
    <t>11+3</t>
  </si>
  <si>
    <t>681</t>
  </si>
  <si>
    <t>721231179RT7</t>
  </si>
  <si>
    <t>Šachta pro zelené strechy (ke vtoku)</t>
  </si>
  <si>
    <t>682</t>
  </si>
  <si>
    <t>721231174RT4</t>
  </si>
  <si>
    <t>Vtok strešní, v zelené streše, zateplená strecha, výška izolace do 300 mm</t>
  </si>
  <si>
    <t>prumer 75 - 125 mm</t>
  </si>
  <si>
    <t>683</t>
  </si>
  <si>
    <t>721231334R00</t>
  </si>
  <si>
    <t>Elektronický termostat pro vyhr. vtoky</t>
  </si>
  <si>
    <t>684</t>
  </si>
  <si>
    <t>721290111R00</t>
  </si>
  <si>
    <t>Zkouška tesnosti kanalizace vodou DN 125 mm</t>
  </si>
  <si>
    <t>60+10+33+82,5+117,5+3+103+69+51,5+19,5</t>
  </si>
  <si>
    <t>685</t>
  </si>
  <si>
    <t>998721202R00</t>
  </si>
  <si>
    <t>Presun hmot pro vnitrní kanalizaci, výšky do 12 m</t>
  </si>
  <si>
    <t>686</t>
  </si>
  <si>
    <t>724231173R00</t>
  </si>
  <si>
    <t>Teplomer na potrubí ukazovací, rozsah 0-120°C</t>
  </si>
  <si>
    <t>687</t>
  </si>
  <si>
    <t>Manometr na potrubí ukazovací, rozsah min. 0-8 bar</t>
  </si>
  <si>
    <t>688</t>
  </si>
  <si>
    <t>738129413R00</t>
  </si>
  <si>
    <t>Nádoba expanzní 18l</t>
  </si>
  <si>
    <t>689</t>
  </si>
  <si>
    <t>690</t>
  </si>
  <si>
    <t>722172412R00</t>
  </si>
  <si>
    <t>Potrubí plastové PP-RCT, vcetne zednických výpomocí, D 25 x 3,5 mm</t>
  </si>
  <si>
    <t>10+58</t>
  </si>
  <si>
    <t>691</t>
  </si>
  <si>
    <t>722172411R00</t>
  </si>
  <si>
    <t>Potrubí plastové PP-RCT, vcetne zednických výpomocí, D 20 x 2,8 mm,</t>
  </si>
  <si>
    <t>249+93</t>
  </si>
  <si>
    <t>692</t>
  </si>
  <si>
    <t>722172413R00</t>
  </si>
  <si>
    <t>Potrubí plastové PP-RCT, vcetne zednických výpomocí, D 32 x 4,4 mm</t>
  </si>
  <si>
    <t>693</t>
  </si>
  <si>
    <t>722172414R00</t>
  </si>
  <si>
    <t>Potrubí plastové PP-RCT, vcetne zednických výpomocí, D 40 x 5,5 mm</t>
  </si>
  <si>
    <t>694</t>
  </si>
  <si>
    <t>722172415R00</t>
  </si>
  <si>
    <t>Potrubí plastové PP-RCT, vcetne zednických výpomocí, D 50 x 6,9 mm</t>
  </si>
  <si>
    <t>695</t>
  </si>
  <si>
    <t>722152216R00</t>
  </si>
  <si>
    <t>Potrubí nerezové, D 35 x 1,5 mm, lisované, tìsnìní EPDM, PN 16</t>
  </si>
  <si>
    <t>696</t>
  </si>
  <si>
    <t>722152215R00</t>
  </si>
  <si>
    <t>Potrubí nerezové, D 28 x 1,2 mm, lisované, tesnení EPDM, PN 16</t>
  </si>
  <si>
    <t>697</t>
  </si>
  <si>
    <t>722237131R00</t>
  </si>
  <si>
    <t>Kohout vodovodní, kulový s vypouštením, DN 15 mm</t>
  </si>
  <si>
    <t>698</t>
  </si>
  <si>
    <t>722237132R00</t>
  </si>
  <si>
    <t>Kohout vodovodní, kulový s vypouštením, DN 20 mm</t>
  </si>
  <si>
    <t>699</t>
  </si>
  <si>
    <t>722237125R00</t>
  </si>
  <si>
    <t>Kohout vodovodní, kulový, 2x vnitrní závit, DN 40 mm</t>
  </si>
  <si>
    <t>700</t>
  </si>
  <si>
    <t>722237124R00</t>
  </si>
  <si>
    <t>Kohout vodovodní, kulový, 2x vnitrní závit, DN 32 mm</t>
  </si>
  <si>
    <t>701</t>
  </si>
  <si>
    <t>722237122R00</t>
  </si>
  <si>
    <t>Kohout vodovodní, kulový, 2x vnitrní závit, DN 20 mm</t>
  </si>
  <si>
    <t>702</t>
  </si>
  <si>
    <t>722237121R00</t>
  </si>
  <si>
    <t>Kohout vodovodní, kulový, 2x vnitrní závit, DN 15 mm</t>
  </si>
  <si>
    <t>703</t>
  </si>
  <si>
    <t>722231162R00</t>
  </si>
  <si>
    <t>Ventil vodovodní pojistný G 1/2-3/4"</t>
  </si>
  <si>
    <t>704</t>
  </si>
  <si>
    <t>722223131R00</t>
  </si>
  <si>
    <t>Kohout vodovodní, kulový, vypouštecí, komplet se šroubením na hadici, DN 15 mm</t>
  </si>
  <si>
    <t>705</t>
  </si>
  <si>
    <t>722254201RT3</t>
  </si>
  <si>
    <t>Hydrantový systém, box s plnými dvermi</t>
  </si>
  <si>
    <t>prumer 25/30 mm, stálotvará hadice</t>
  </si>
  <si>
    <t>706</t>
  </si>
  <si>
    <t>722170914R0R</t>
  </si>
  <si>
    <t>Napojení na potrubí PE d50 vcetne prechodky na potrubí PP-RCT d50</t>
  </si>
  <si>
    <t>707</t>
  </si>
  <si>
    <t>734225821R00</t>
  </si>
  <si>
    <t>Vyvažovací armatura pro prutok cirkulacním potrubím DN15 (1/2"), osazení na potrubí PP-RCT d20 (+2x šroubení). Kombinovaná armatura vcetne uzavírání a</t>
  </si>
  <si>
    <t>možnosti termické dezinfekce</t>
  </si>
  <si>
    <t>708</t>
  </si>
  <si>
    <t>722236522R00</t>
  </si>
  <si>
    <t>Filtr vodovodní, nerezové cistící sítko, DN 20 mm</t>
  </si>
  <si>
    <t>709</t>
  </si>
  <si>
    <t>722237664R00</t>
  </si>
  <si>
    <t>Klapka vodovodní, zpetná, DN 32 mm</t>
  </si>
  <si>
    <t>710</t>
  </si>
  <si>
    <t>722237662R00</t>
  </si>
  <si>
    <t>Klapka vodovodní, zpetná, DN 20 mm</t>
  </si>
  <si>
    <t>722237661R00</t>
  </si>
  <si>
    <t>Klapka vodovodní, zpetná, DN 15 mm</t>
  </si>
  <si>
    <t>732421313R0R</t>
  </si>
  <si>
    <t>Cirkulacní cerpadlo TV 3/4", viz TZ + ovládací automatika (senzory na potrubí + casový spínac)</t>
  </si>
  <si>
    <t>722190401R00</t>
  </si>
  <si>
    <t>Vyvedení a upevnení výpustek</t>
  </si>
  <si>
    <t>17*2+2*2+2*2+1+2+3*2</t>
  </si>
  <si>
    <t>714</t>
  </si>
  <si>
    <t>722290215R00</t>
  </si>
  <si>
    <t>Zkouška tlaku potrubí do DN 100 mm</t>
  </si>
  <si>
    <t>715</t>
  </si>
  <si>
    <t>722290234R00</t>
  </si>
  <si>
    <t>Proplach a dezinfekce vodovodního potrubí DN 80 mm</t>
  </si>
  <si>
    <t>342+68+34+14+35+30+25</t>
  </si>
  <si>
    <t>716</t>
  </si>
  <si>
    <t>722181214RT5</t>
  </si>
  <si>
    <t>Izolace návleková PE tl. steny 20 mm</t>
  </si>
  <si>
    <t>pro DN15</t>
  </si>
  <si>
    <t>717</t>
  </si>
  <si>
    <t>pro DN 20</t>
  </si>
  <si>
    <t>718</t>
  </si>
  <si>
    <t>722181244RT5</t>
  </si>
  <si>
    <t>Izolace návleková PE s ochr. vrstvou tl. steny 20 mm</t>
  </si>
  <si>
    <t>pro DN 15</t>
  </si>
  <si>
    <t>719</t>
  </si>
  <si>
    <t>722182004RT2</t>
  </si>
  <si>
    <t>Montáž tepelné izolace na potrubí do DN 40</t>
  </si>
  <si>
    <t>93+58+34+14+35+55</t>
  </si>
  <si>
    <t>720</t>
  </si>
  <si>
    <t>631433003</t>
  </si>
  <si>
    <t>Pouzdro potrubní do DN 25-32 tl.20 mm s kašírovanou Al folií</t>
  </si>
  <si>
    <t>721</t>
  </si>
  <si>
    <t>631433304</t>
  </si>
  <si>
    <t>Pouzdro potrubní DN 40 tl.40 mm s kašírovanou Al folií</t>
  </si>
  <si>
    <t>722</t>
  </si>
  <si>
    <t>631433303</t>
  </si>
  <si>
    <t>Pouzdro potrubní DN 32 tl.40 mm s kašírovanou Al folií</t>
  </si>
  <si>
    <t>723</t>
  </si>
  <si>
    <t>631433202</t>
  </si>
  <si>
    <t>Pouzdro potrubní DN 25 tl.30 mm s kašírovanou Al folií</t>
  </si>
  <si>
    <t>724</t>
  </si>
  <si>
    <t>631433201</t>
  </si>
  <si>
    <t>Pouzdro potrubní DN 20 tl.30 mm s kašírovanou Al folií</t>
  </si>
  <si>
    <t>725</t>
  </si>
  <si>
    <t>631433001</t>
  </si>
  <si>
    <t>Pouzdro potrubní DN 15 tl.20 mm s kašírovanou Al folií</t>
  </si>
  <si>
    <t>726</t>
  </si>
  <si>
    <t>725017123R00</t>
  </si>
  <si>
    <t>Umyvadlo na šrouby do 600mm</t>
  </si>
  <si>
    <t>727</t>
  </si>
  <si>
    <t>725835811RTR</t>
  </si>
  <si>
    <t>Baterie sprchová nástená, vc. sprchového setu</t>
  </si>
  <si>
    <t>728</t>
  </si>
  <si>
    <t>725249123R0R</t>
  </si>
  <si>
    <t>Sprchový kout, kompletní provedení vc. odtoku</t>
  </si>
  <si>
    <t>RTS I / 2022</t>
  </si>
  <si>
    <t>729</t>
  </si>
  <si>
    <t>725212177R0R</t>
  </si>
  <si>
    <t>Ventilacní mrížka k privzdušnovacímu ventilu 200x200mm nereza</t>
  </si>
  <si>
    <t>730</t>
  </si>
  <si>
    <t>725814106R00</t>
  </si>
  <si>
    <t>Ventil rohový s filtrem</t>
  </si>
  <si>
    <t>17*2+2*2+2*2+1+2</t>
  </si>
  <si>
    <t>731</t>
  </si>
  <si>
    <t>725823111RT2</t>
  </si>
  <si>
    <t>Baterie umyvadlová stojánková, rucní, bez otvírání odpadu</t>
  </si>
  <si>
    <t>725860251R00</t>
  </si>
  <si>
    <t>Sifon umyvadlový nerez</t>
  </si>
  <si>
    <t>725017124R00</t>
  </si>
  <si>
    <t>Umyvadlo do desky</t>
  </si>
  <si>
    <t>725823134RT1</t>
  </si>
  <si>
    <t>Baterie drezová stojánková</t>
  </si>
  <si>
    <t>725860201RT1</t>
  </si>
  <si>
    <t>Sifon drezový, 6/4", s prípojkou pro mycku</t>
  </si>
  <si>
    <t>zpetná klapka, D 40, 50 mm, kulový kloub na odtoku</t>
  </si>
  <si>
    <t>736</t>
  </si>
  <si>
    <t>725019103R00</t>
  </si>
  <si>
    <t>Výlevka závesná s plastovou mrížkou</t>
  </si>
  <si>
    <t>737</t>
  </si>
  <si>
    <t>725825114RT1</t>
  </si>
  <si>
    <t>Baterie pro výlevku nástenná rucní</t>
  </si>
  <si>
    <t>738</t>
  </si>
  <si>
    <t>725860182RT2</t>
  </si>
  <si>
    <t>Sifon prackový, D 40/50 mm</t>
  </si>
  <si>
    <t>podomítková uzáverka s prípojem vody a el.</t>
  </si>
  <si>
    <t>739</t>
  </si>
  <si>
    <t>725249124R0R</t>
  </si>
  <si>
    <t>Sprchová vanicka a zástena, kompletní provedení vc. odtoku</t>
  </si>
  <si>
    <t>740</t>
  </si>
  <si>
    <t>725014131R00</t>
  </si>
  <si>
    <t>Klozet závesný vcetne sedátka</t>
  </si>
  <si>
    <t>741</t>
  </si>
  <si>
    <t>998725202R00</t>
  </si>
  <si>
    <t>Presun hmot pro zarizovací predmety, výšky do 12 m</t>
  </si>
  <si>
    <t>742</t>
  </si>
  <si>
    <t>726211322R00</t>
  </si>
  <si>
    <t>Modul pro WC</t>
  </si>
  <si>
    <t>vc. tlacítka</t>
  </si>
  <si>
    <t>743</t>
  </si>
  <si>
    <t>726212367R00</t>
  </si>
  <si>
    <t>Modul pro výlevku</t>
  </si>
  <si>
    <t>744</t>
  </si>
  <si>
    <t>998726222R00</t>
  </si>
  <si>
    <t>Presun hmot pro predstenové systémy, výšky do 12 m</t>
  </si>
  <si>
    <t>Montáže</t>
  </si>
  <si>
    <t>M21</t>
  </si>
  <si>
    <t>Elektromontáže a Fotovoltaika (M+D)</t>
  </si>
  <si>
    <t>745</t>
  </si>
  <si>
    <t>210000000R01</t>
  </si>
  <si>
    <t>Dodávka a montáž trubek EI - pod omítkou, plastové OHEBNÉ, PVC,  D20</t>
  </si>
  <si>
    <t>M1_M21_</t>
  </si>
  <si>
    <t>SO01_M1_9_</t>
  </si>
  <si>
    <t>746</t>
  </si>
  <si>
    <t>210000000R02</t>
  </si>
  <si>
    <t>Dodávka a montáž trubek EI - pod omítkou, plastové OHEBNÉ, PVC,  D32</t>
  </si>
  <si>
    <t>747</t>
  </si>
  <si>
    <t>210000000R03</t>
  </si>
  <si>
    <t>Dodávka a montáž trubek EI - pod omítkou, plastové OHEBNÉ, PVC,  D40</t>
  </si>
  <si>
    <t>748</t>
  </si>
  <si>
    <t>210000000R04</t>
  </si>
  <si>
    <t>Dodávka a montáž kabelových chránicek -  ZEMNÍ RÝHA + zatažení vodice - chránicka dvoupláštová 63</t>
  </si>
  <si>
    <t>749</t>
  </si>
  <si>
    <t>210000000R05</t>
  </si>
  <si>
    <t>Dodávka a montáž - Drátený žlab pozinkovaný - vc. úchytu a spoju - 30/100</t>
  </si>
  <si>
    <t>750</t>
  </si>
  <si>
    <t>210000000R06</t>
  </si>
  <si>
    <t>Dodávka a montáž - Drátený žlab pozinkovaný - vc. úchytu a spoju - 54/150</t>
  </si>
  <si>
    <t>751</t>
  </si>
  <si>
    <t>210000000R07</t>
  </si>
  <si>
    <t>Krabice pancérová plastová IP54</t>
  </si>
  <si>
    <t>ks</t>
  </si>
  <si>
    <t>752</t>
  </si>
  <si>
    <t>210000000R08</t>
  </si>
  <si>
    <t>Hmožninky + šrouby pro uchycení osvetl teles</t>
  </si>
  <si>
    <t>753</t>
  </si>
  <si>
    <t>210000000R09</t>
  </si>
  <si>
    <t>Kr. pod omítku KU68/1</t>
  </si>
  <si>
    <t>754</t>
  </si>
  <si>
    <t>210000000R10</t>
  </si>
  <si>
    <t>Kr. pod omítku KU68/2 s víckem</t>
  </si>
  <si>
    <t>755</t>
  </si>
  <si>
    <t>210000000R11</t>
  </si>
  <si>
    <t>Kr. pod omítku KU68/3 s víckem a svorkovnicí</t>
  </si>
  <si>
    <t>756</t>
  </si>
  <si>
    <t>210000000R12</t>
  </si>
  <si>
    <t>Kr. pod omítku KR97 s víckem s vorkovnicí</t>
  </si>
  <si>
    <t>757</t>
  </si>
  <si>
    <t>210000000R13</t>
  </si>
  <si>
    <t>Kr. pod omítku KR 250</t>
  </si>
  <si>
    <t>758</t>
  </si>
  <si>
    <t>210000000R14</t>
  </si>
  <si>
    <t>CYY, CYA  - 6 mm2</t>
  </si>
  <si>
    <t>759</t>
  </si>
  <si>
    <t>210000000R15</t>
  </si>
  <si>
    <t>CYY, CYA  - 10 mm2</t>
  </si>
  <si>
    <t>760</t>
  </si>
  <si>
    <t>210000000R16</t>
  </si>
  <si>
    <t>CYY, CYA  - 16 mm2</t>
  </si>
  <si>
    <t>761</t>
  </si>
  <si>
    <t>210000000R17</t>
  </si>
  <si>
    <t>CYKY 2 x 1,5 mm2</t>
  </si>
  <si>
    <t>210000000R18</t>
  </si>
  <si>
    <t>CYKY 3 x 1,5 mm2</t>
  </si>
  <si>
    <t>763</t>
  </si>
  <si>
    <t>210000000R19</t>
  </si>
  <si>
    <t>CYKY 3 x 2,5 mm2</t>
  </si>
  <si>
    <t>210000000R20</t>
  </si>
  <si>
    <t>CYKY 4 x 1,5 mm2</t>
  </si>
  <si>
    <t>765</t>
  </si>
  <si>
    <t>210000000R21</t>
  </si>
  <si>
    <t>CYKY 5 x 1,5 mm2</t>
  </si>
  <si>
    <t>210000000R22</t>
  </si>
  <si>
    <t>CYKY 5 x 2,5 mm2</t>
  </si>
  <si>
    <t>210000000R23</t>
  </si>
  <si>
    <t>CYKY 5 x 6 mm2</t>
  </si>
  <si>
    <t>768</t>
  </si>
  <si>
    <t>210000000R24</t>
  </si>
  <si>
    <t>CYKY 5 x 10 mm2</t>
  </si>
  <si>
    <t>769</t>
  </si>
  <si>
    <t>210000000R25</t>
  </si>
  <si>
    <t>CYKY 5 x 16 mm2</t>
  </si>
  <si>
    <t>770</t>
  </si>
  <si>
    <t>210000000R26</t>
  </si>
  <si>
    <t>CYKY 5 x 35 mm2</t>
  </si>
  <si>
    <t>210000000R27</t>
  </si>
  <si>
    <t>CYKY 3 x 50 + 35 mm2</t>
  </si>
  <si>
    <t>772</t>
  </si>
  <si>
    <t>210000000R28</t>
  </si>
  <si>
    <t>AYKY 3 x 150 + 70mm2</t>
  </si>
  <si>
    <t>773</t>
  </si>
  <si>
    <t>210000000R29</t>
  </si>
  <si>
    <t>JYTY 4 x 1</t>
  </si>
  <si>
    <t>774</t>
  </si>
  <si>
    <t>210000000R30</t>
  </si>
  <si>
    <t>J-Y/ST/Y 4 x 2 x 0,8</t>
  </si>
  <si>
    <t>775</t>
  </si>
  <si>
    <t>210000000R31</t>
  </si>
  <si>
    <t>SYKFY 4x2x0.5</t>
  </si>
  <si>
    <t>210000000R32</t>
  </si>
  <si>
    <t>Koaxiální kabel H121 CuPVC (venk. I vnitrmí rozv.)</t>
  </si>
  <si>
    <t>777</t>
  </si>
  <si>
    <t>210000000R33</t>
  </si>
  <si>
    <t>UTP cat.5e - lanko</t>
  </si>
  <si>
    <t>778</t>
  </si>
  <si>
    <t>210000000R34</t>
  </si>
  <si>
    <t>Šnura CGSG - pripojení bílého zboží, vzt atp.</t>
  </si>
  <si>
    <t>779</t>
  </si>
  <si>
    <t>210000000R35</t>
  </si>
  <si>
    <t>TCEKPFLE     5 x 4 x 0,9</t>
  </si>
  <si>
    <t>780</t>
  </si>
  <si>
    <t>210000000R36</t>
  </si>
  <si>
    <t>Ukoncení vodicu s oznacením a zapojením - rozvadec, el. prístroj</t>
  </si>
  <si>
    <t>hod</t>
  </si>
  <si>
    <t>210000000R37</t>
  </si>
  <si>
    <t>Spínac - bezšroubový spoj, zapojení  raz. 1</t>
  </si>
  <si>
    <t>782</t>
  </si>
  <si>
    <t>210000000R38</t>
  </si>
  <si>
    <t>Spínac - bezšroubový spoj, zapojení  raz. 5</t>
  </si>
  <si>
    <t>783</t>
  </si>
  <si>
    <t>210000000R39</t>
  </si>
  <si>
    <t>Spínac - bezšroubový spoj, zapojení  raz. 6</t>
  </si>
  <si>
    <t>210000000R40</t>
  </si>
  <si>
    <t>Spínac - bezšroubový spoj, zapojení  raz. 6+6</t>
  </si>
  <si>
    <t>785</t>
  </si>
  <si>
    <t>210000000R41</t>
  </si>
  <si>
    <t>Spínac - bezšroubový spoj, zapojení  raz. 7</t>
  </si>
  <si>
    <t>210000000R42</t>
  </si>
  <si>
    <t>Spínac - bezšroubový spoj, zapojení  raz. tlac. 1/0</t>
  </si>
  <si>
    <t>210000000R43</t>
  </si>
  <si>
    <t>tlacítkový spínac + stmívac DALI</t>
  </si>
  <si>
    <t>788</t>
  </si>
  <si>
    <t>210000000R44</t>
  </si>
  <si>
    <t>PIR cidlo stropní (pohled popr prisazené)</t>
  </si>
  <si>
    <t>789</t>
  </si>
  <si>
    <t>210000000R45</t>
  </si>
  <si>
    <t>Spínac stiskací (25A) pod omítku</t>
  </si>
  <si>
    <t>790</t>
  </si>
  <si>
    <t>210000000R46</t>
  </si>
  <si>
    <t>Spínac - VZT 230V/10A- páckový</t>
  </si>
  <si>
    <t>791</t>
  </si>
  <si>
    <t>210000000R47</t>
  </si>
  <si>
    <t>Žaluziový spínac talcítkový</t>
  </si>
  <si>
    <t>792</t>
  </si>
  <si>
    <t>210000000R48</t>
  </si>
  <si>
    <t>Spínac  - SPORÁKOVÁ KOMBINACE</t>
  </si>
  <si>
    <t>793</t>
  </si>
  <si>
    <t>210000000R49</t>
  </si>
  <si>
    <t>Zásuvka jednonásobná 230/16A</t>
  </si>
  <si>
    <t>794</t>
  </si>
  <si>
    <t>210000000R50</t>
  </si>
  <si>
    <t>Zásuvka  dvojnásobná 230/16A (2xzásuvka + spol. dvourámecek)</t>
  </si>
  <si>
    <t>210000000R51</t>
  </si>
  <si>
    <t>Datové zásuvky (2xRJ45)</t>
  </si>
  <si>
    <t>796</t>
  </si>
  <si>
    <t>210000000R52</t>
  </si>
  <si>
    <t>TV+R+SAT zásuvka</t>
  </si>
  <si>
    <t>797</t>
  </si>
  <si>
    <t>210000000R53</t>
  </si>
  <si>
    <t>Vícenásobné rámecky petinásobné</t>
  </si>
  <si>
    <t>798</t>
  </si>
  <si>
    <t>210000000R54</t>
  </si>
  <si>
    <t>Výklopný zásuvkový box- 2x230V/16A + 2xRJ45</t>
  </si>
  <si>
    <t>799</t>
  </si>
  <si>
    <t>210000000R55</t>
  </si>
  <si>
    <t>WIFI router</t>
  </si>
  <si>
    <t>800</t>
  </si>
  <si>
    <t>210000000R56</t>
  </si>
  <si>
    <t>Casový spínac VZT - tlacítko + relé do krabice pod tlacítkem</t>
  </si>
  <si>
    <t>801</t>
  </si>
  <si>
    <t>210000000R57</t>
  </si>
  <si>
    <t>Kourové cidlo autonomní (bateriové)</t>
  </si>
  <si>
    <t>802</t>
  </si>
  <si>
    <t>210000000R58</t>
  </si>
  <si>
    <t>TOTAL STOP (tlac pod sklem)</t>
  </si>
  <si>
    <t>803</t>
  </si>
  <si>
    <t>210000000R59</t>
  </si>
  <si>
    <t>Zásuvka KOMBINOVANÁ - 400/230V - 16A, nástenná</t>
  </si>
  <si>
    <t>804</t>
  </si>
  <si>
    <t>210000000R60</t>
  </si>
  <si>
    <t>Zás. Skrín, 400V/32A, 400V/16A,2x230V/16A- chránic 0,03A + jištení zásuvek (IPx4)</t>
  </si>
  <si>
    <t>805</t>
  </si>
  <si>
    <t>210000000R61</t>
  </si>
  <si>
    <t>Siréna 12 (24V) -VENKOVNÍ PROVDENÍ + optická signalizace</t>
  </si>
  <si>
    <t>806</t>
  </si>
  <si>
    <t>210000000R62</t>
  </si>
  <si>
    <t>Rozvodnice OCEP / PLAST - bežné provedení</t>
  </si>
  <si>
    <t>807</t>
  </si>
  <si>
    <t>210000000R63</t>
  </si>
  <si>
    <t>Rozvodnice SKRÍNOVÉ - hmotnost jednoho pole do 300kg</t>
  </si>
  <si>
    <t>808</t>
  </si>
  <si>
    <t>210000000R64</t>
  </si>
  <si>
    <t>Montáž skríne pojistkové - SS 100 , 3 sady poj. 240mm2</t>
  </si>
  <si>
    <t>809</t>
  </si>
  <si>
    <t>210000000R65</t>
  </si>
  <si>
    <t>Slaboproudá skrín  - FAB - POD OMÍTKU</t>
  </si>
  <si>
    <t>810</t>
  </si>
  <si>
    <t>210000000R66</t>
  </si>
  <si>
    <t>A Prisazené kancelárské, mikro ALDP mrížka + opal. difuzor, LED 840, 39W, 3500 lm, RAL 9016, 1522x98x50mm</t>
  </si>
  <si>
    <t>811</t>
  </si>
  <si>
    <t>210000000R67</t>
  </si>
  <si>
    <t>B prisazené prumyslové úzké IP65, 5500lm, 38W, 1270x86x90mm, LED 840 , korpus PC, cirý PC kryt,</t>
  </si>
  <si>
    <t>812</t>
  </si>
  <si>
    <t>210000000R68</t>
  </si>
  <si>
    <t>B1 prisazené LINIOVÉ SVÍTIDLO PRO MONTÁŽ DO RADY,BEZ REFLEKTORU, opál, 21W,  3200LM, LED 840, 1484x46x47mm</t>
  </si>
  <si>
    <t>813</t>
  </si>
  <si>
    <t>210000000R69</t>
  </si>
  <si>
    <t>B2 prisazené liniové SVÍTIDLO BEZ REFLEKTORU, opál 21W, 3500 lm, LED 840, 1484x46x47mm</t>
  </si>
  <si>
    <t>814</t>
  </si>
  <si>
    <t>210000000R70</t>
  </si>
  <si>
    <t>B3  BÍLÉ LED SVÍTIDLO ZAPUŠTENÉ DO SDK, 840, kombinace PMMA optiky a bílého plastového reflektoru (20-28W), délka 2400mm. Atyp výroba na zakázku.</t>
  </si>
  <si>
    <t>815</t>
  </si>
  <si>
    <t>210000000R71</t>
  </si>
  <si>
    <t>NO1 Nouzové  LED s piktogramem, s praporkem, vestavné do SDK (2W/60min.) IP65</t>
  </si>
  <si>
    <t>816</t>
  </si>
  <si>
    <t>210000000R72</t>
  </si>
  <si>
    <t>NO2 Nouzové LED, s piktogramem s bílým rámeckem, BÍLÉ KE ZDI Z BOKU PRISAZENÉ  (2W/60min.)</t>
  </si>
  <si>
    <t>817</t>
  </si>
  <si>
    <t>210000000R73</t>
  </si>
  <si>
    <t>NO3 Nouzové LED PREMIUM IP65 3h, BÍLÁ BARVA S PIKTOGRAMEN, PODOMÍTKOVÁ MONTÁŽ, NA ZDI (2W/60min.)</t>
  </si>
  <si>
    <t>818</t>
  </si>
  <si>
    <t>210000000R74</t>
  </si>
  <si>
    <t>NO4 Nouzové LED, IP44, BÍLÁ BARVA S OBOUSTRANÝM PIKTOGRAMEN + osvetlením únikové cesty, prisazené NA STROPE(2W/60min.)</t>
  </si>
  <si>
    <t>819</t>
  </si>
  <si>
    <t>210000000R75</t>
  </si>
  <si>
    <t>H Koupelnové vestavné stropní svítidlo, ctverec do SDK, LED 19W, 840, IPx4, 224x2224mm</t>
  </si>
  <si>
    <t>820</t>
  </si>
  <si>
    <t>210000000R76</t>
  </si>
  <si>
    <t>K závesné válcové svítidlo z triplexového skla s bílým závesem,LED žárovka E27 - 15/17W, IP20, prum.15cm, výška 55cm</t>
  </si>
  <si>
    <t>821</t>
  </si>
  <si>
    <t>210000000R77</t>
  </si>
  <si>
    <t>O LED prumyslové prachotesné IP65, PC opálový disfusor, 95W, 840, 1570x136x90</t>
  </si>
  <si>
    <t>822</t>
  </si>
  <si>
    <t>210000000R78</t>
  </si>
  <si>
    <t>CH Vestavné LED svítidlo do podhledu 596x596mm pro tlumené neprímé osvetlení. 32W, 840</t>
  </si>
  <si>
    <t>823</t>
  </si>
  <si>
    <t>210000000R79</t>
  </si>
  <si>
    <t>CH1 Vestavné LED svítidlo do podhledu 596x596mm pro tlumené neprímé osvetlení. 32W, 840 DALI</t>
  </si>
  <si>
    <t>824</t>
  </si>
  <si>
    <t>210000000R80</t>
  </si>
  <si>
    <t>G Lampicka nástenná matná bílá (patice G9 - zdroj LED 5W). Hranaté kovové nástenné svítidlo pro žárovku se svícením UP/DOWN, o pudorysném rozmeru 105</t>
  </si>
  <si>
    <t>825</t>
  </si>
  <si>
    <t>210000000R81</t>
  </si>
  <si>
    <t>Q Al lišta s difusorem + LED pásek - DÉLKA 3m (vcetne trafa, spoju  a koncovek)</t>
  </si>
  <si>
    <t>826</t>
  </si>
  <si>
    <t>210000000R82</t>
  </si>
  <si>
    <t>Q - soklová Al lišta + LED pásek - venkovní provedení - DÉLKA 12m (vcetne trafa, spoju  a koncovek)</t>
  </si>
  <si>
    <t>827</t>
  </si>
  <si>
    <t>210000000R83</t>
  </si>
  <si>
    <t>Q - soklová Al lišta + LED pásek - venkovní provedení - DÉLKA 15m (vcetne trafa, spoju  a koncovek)</t>
  </si>
  <si>
    <t>828</t>
  </si>
  <si>
    <t>210000000R84</t>
  </si>
  <si>
    <t>Vodic - FeZn 30/4 mm v základech popr. v zemní rýze</t>
  </si>
  <si>
    <t>829</t>
  </si>
  <si>
    <t>210000000R85</t>
  </si>
  <si>
    <t>Vodic  - FeZn 10mm - pevne ložený</t>
  </si>
  <si>
    <t>830</t>
  </si>
  <si>
    <t>210000000R86</t>
  </si>
  <si>
    <t>Jímací vedení - vodic : AlMg SI 8 mm vc. podper</t>
  </si>
  <si>
    <t>831</t>
  </si>
  <si>
    <t>210000000R87</t>
  </si>
  <si>
    <t>Izolovaný svodový vodic RD 8 ALMGSI WE KM R100M - pod om.</t>
  </si>
  <si>
    <t>832</t>
  </si>
  <si>
    <t>210000000R88</t>
  </si>
  <si>
    <t>Jímací tyc +2xpostavec+podložka+svorka a klín, Al 16mm, délky 1 m</t>
  </si>
  <si>
    <t>833</t>
  </si>
  <si>
    <t>210000000R89</t>
  </si>
  <si>
    <t>Jímací tyc +postavec+podložka+svorka a klín, Al 16mm, délky 2,5 m</t>
  </si>
  <si>
    <t>834</t>
  </si>
  <si>
    <t>210000000R90</t>
  </si>
  <si>
    <t>Jímac na ant. stožár a komín: tyc +  HVI držáky + svorky a upevnení(bet podstavce)</t>
  </si>
  <si>
    <t>835</t>
  </si>
  <si>
    <t>210000000R91</t>
  </si>
  <si>
    <t>Svorky hromosvodové - SS</t>
  </si>
  <si>
    <t>836</t>
  </si>
  <si>
    <t>210000000R92</t>
  </si>
  <si>
    <t>Svorky hromosvodové - SP</t>
  </si>
  <si>
    <t>837</t>
  </si>
  <si>
    <t>210000000R93</t>
  </si>
  <si>
    <t>Svorky hromosvodové -  falcové-plech</t>
  </si>
  <si>
    <t>838</t>
  </si>
  <si>
    <t>210000000R94</t>
  </si>
  <si>
    <t>Svorky hromosvodové - SR</t>
  </si>
  <si>
    <t>839</t>
  </si>
  <si>
    <t>210000000R95</t>
  </si>
  <si>
    <t>Svorky hromosvodové - SZ + litin. skrín - do terénu (pojezdná)</t>
  </si>
  <si>
    <t>840</t>
  </si>
  <si>
    <t>210000000R96</t>
  </si>
  <si>
    <t>Štítek na oznacení svodu- plast.</t>
  </si>
  <si>
    <t>841</t>
  </si>
  <si>
    <t>210000000R97</t>
  </si>
  <si>
    <t>tablo -  pro dva úcastníky + 2 x dom. Tlf , el. zámek a napajec (ref. výrobek ABB-Welcome Midiú</t>
  </si>
  <si>
    <t>842</t>
  </si>
  <si>
    <t>210000000R98</t>
  </si>
  <si>
    <t>tablo - pro 8 úcastníku + 5 x dom. Tlf , el. zámek a napajec  (ref. výrobek ABB-Welcome Midiú</t>
  </si>
  <si>
    <t>843</t>
  </si>
  <si>
    <t>210000000R99</t>
  </si>
  <si>
    <t>Ústredna EZS</t>
  </si>
  <si>
    <t>844</t>
  </si>
  <si>
    <t>21000000R100</t>
  </si>
  <si>
    <t>Klávesnice EZS se c  cteckou karet - na omítku</t>
  </si>
  <si>
    <t>845</t>
  </si>
  <si>
    <t>21000000R101</t>
  </si>
  <si>
    <t>Modul PGM + ctecka + zapojení dálk. ovládání vrat garáží</t>
  </si>
  <si>
    <t>846</t>
  </si>
  <si>
    <t>21000000R102</t>
  </si>
  <si>
    <t>Venkovní siréna 24 (12V) - akustická signal napadení objektu</t>
  </si>
  <si>
    <t>847</t>
  </si>
  <si>
    <t>21000000R103</t>
  </si>
  <si>
    <t>Externí videokamery IP PTZ 4 MPX (25X)</t>
  </si>
  <si>
    <t>848</t>
  </si>
  <si>
    <t>21000000R104</t>
  </si>
  <si>
    <t>Cidlo pohybové + patice</t>
  </si>
  <si>
    <t>849</t>
  </si>
  <si>
    <t>21000000R105</t>
  </si>
  <si>
    <t>Cidlo pohybové strobní kruhové</t>
  </si>
  <si>
    <t>850</t>
  </si>
  <si>
    <t>21000000R106</t>
  </si>
  <si>
    <t>Siréna EZS - zálohovaná interní</t>
  </si>
  <si>
    <t>851</t>
  </si>
  <si>
    <t>21000000R107</t>
  </si>
  <si>
    <t>Zapojení a oživení systému EZS</t>
  </si>
  <si>
    <t>852</t>
  </si>
  <si>
    <t>21000000R108</t>
  </si>
  <si>
    <t>Anténní stožár - na hreben, strechu rovnou</t>
  </si>
  <si>
    <t>853</t>
  </si>
  <si>
    <t>21000000R109</t>
  </si>
  <si>
    <t>Dodávka amontáž antén ( dle merení signálu)</t>
  </si>
  <si>
    <t>854</t>
  </si>
  <si>
    <t>21000000R110</t>
  </si>
  <si>
    <t>Konvektor pro SAT</t>
  </si>
  <si>
    <t>855</t>
  </si>
  <si>
    <t>21000000R111</t>
  </si>
  <si>
    <t>Prázdná skrín pro SAT a RACK - uzamykatelná</t>
  </si>
  <si>
    <t>856</t>
  </si>
  <si>
    <t>21000000R112</t>
  </si>
  <si>
    <t>Záložní zdroj s baterií a dobíjením, 230V, 500VA (300W), 60Ah</t>
  </si>
  <si>
    <t>857</t>
  </si>
  <si>
    <t>21000000R113</t>
  </si>
  <si>
    <t>Zapojení bílého zboží - el. sporák, digestor, bojler apod.</t>
  </si>
  <si>
    <t>858</t>
  </si>
  <si>
    <t>21000000R114</t>
  </si>
  <si>
    <t>Zapojení cerpadel, motoru, technologie pneu</t>
  </si>
  <si>
    <t>859</t>
  </si>
  <si>
    <t>21000000R115</t>
  </si>
  <si>
    <t>Zapojení  ventilátoru - bez jejich dodávky a montáže potrubí</t>
  </si>
  <si>
    <t>860</t>
  </si>
  <si>
    <t>21000000R116</t>
  </si>
  <si>
    <t>Pripojení technologie - elektrocentrála</t>
  </si>
  <si>
    <t>861</t>
  </si>
  <si>
    <t>21000000R117</t>
  </si>
  <si>
    <t>Práce pomocné a výše nespecifikované</t>
  </si>
  <si>
    <t>862</t>
  </si>
  <si>
    <t>21000000R118</t>
  </si>
  <si>
    <t>Prostrih  a pomocný materiál</t>
  </si>
  <si>
    <t>863</t>
  </si>
  <si>
    <t>21000000R119</t>
  </si>
  <si>
    <t>Bourací a stavební práce - drážky, prostupy, vc. zapravení, ucpávky</t>
  </si>
  <si>
    <t>864</t>
  </si>
  <si>
    <t>21000000R120</t>
  </si>
  <si>
    <t>Spolupráce s ostatními remesly (napr. topná zkouška, Ú.T. a VZT apod.)</t>
  </si>
  <si>
    <t>865</t>
  </si>
  <si>
    <t>21000000R121</t>
  </si>
  <si>
    <t>Záverecné zkoušky a merení (napr. merení osvetlenosti, izol. stavy, vypínací casy apod.)</t>
  </si>
  <si>
    <t>866</t>
  </si>
  <si>
    <t>21000000R122</t>
  </si>
  <si>
    <t>Mechanismy (zdvih plošina, pojízdné lešení,  atp.)</t>
  </si>
  <si>
    <t>867</t>
  </si>
  <si>
    <t>21000000R123</t>
  </si>
  <si>
    <t>Prihláška popr. jednání se správci sítí vcetne distr. síte NN</t>
  </si>
  <si>
    <t>868</t>
  </si>
  <si>
    <t>21000000R124</t>
  </si>
  <si>
    <t>Výchozí revize</t>
  </si>
  <si>
    <t>869</t>
  </si>
  <si>
    <t>21000000R125</t>
  </si>
  <si>
    <t>RE v typovém zapojení- dve samostatná merení (63A) +HDO+ odpínace a zapojení pro TOTAL stop + HDO(FVE).  OCEP pod omítku.</t>
  </si>
  <si>
    <t>870</t>
  </si>
  <si>
    <t>21000000R126</t>
  </si>
  <si>
    <t>RH- hlavní rozvadec + MET</t>
  </si>
  <si>
    <t>871</t>
  </si>
  <si>
    <t>21000000R127</t>
  </si>
  <si>
    <t>RP-ZZ rozvadec zálohovaných okruhu</t>
  </si>
  <si>
    <t>872</t>
  </si>
  <si>
    <t>21000000R128</t>
  </si>
  <si>
    <t>RP-A, podr. rozvadec 2.NP - pravá strana</t>
  </si>
  <si>
    <t>873</t>
  </si>
  <si>
    <t>21000000R129</t>
  </si>
  <si>
    <t>RP-B, podr rozvadec - levá strana</t>
  </si>
  <si>
    <t>874</t>
  </si>
  <si>
    <t>21000000R130</t>
  </si>
  <si>
    <t>RP-P, podr rozvadec pneuservis</t>
  </si>
  <si>
    <t>875</t>
  </si>
  <si>
    <t>21000000R131</t>
  </si>
  <si>
    <t>Rozvadec TC a TUV (soucást dodávky tep cerpadla a MaR)</t>
  </si>
  <si>
    <t>876</t>
  </si>
  <si>
    <t>21000000R132</t>
  </si>
  <si>
    <t>Pojistková skrín SS100 pod omítku (CEZ)</t>
  </si>
  <si>
    <t>877</t>
  </si>
  <si>
    <t>21000000R133</t>
  </si>
  <si>
    <t>Tlf skrín MRK20 pod omítku (FAB)</t>
  </si>
  <si>
    <t>878</t>
  </si>
  <si>
    <t>21000000R134</t>
  </si>
  <si>
    <t>Plast skrín, Rack + UPS + zesil STA</t>
  </si>
  <si>
    <t>879</t>
  </si>
  <si>
    <t>21000000R135</t>
  </si>
  <si>
    <t>Koupelnový elektrický žebrík vc. regulátoru teplot,  š. 450mm/300W</t>
  </si>
  <si>
    <t>880</t>
  </si>
  <si>
    <t>21000000R136</t>
  </si>
  <si>
    <t>Elektrický sušic rucníku/hadru - otocný  230V/40W - napr. ES2</t>
  </si>
  <si>
    <t>881</t>
  </si>
  <si>
    <t>21000000R137</t>
  </si>
  <si>
    <t>Elektrocentrála 15kVa, aut. záskok, 400V</t>
  </si>
  <si>
    <t>882</t>
  </si>
  <si>
    <t>21000000R138</t>
  </si>
  <si>
    <t>Rozvadec elektrocentrály s aut prepínacem sítí. Z rozv. napájen RP-ZZ</t>
  </si>
  <si>
    <t>883</t>
  </si>
  <si>
    <t>21000000R139</t>
  </si>
  <si>
    <t>Kabeláž elektrocentrály vc ovládání</t>
  </si>
  <si>
    <t>884</t>
  </si>
  <si>
    <t>21000000R140</t>
  </si>
  <si>
    <t>Odtranení krytu komunikace - ZE ŽIVICE</t>
  </si>
  <si>
    <t>885</t>
  </si>
  <si>
    <t>21000000R141</t>
  </si>
  <si>
    <t>Rezání spáry -  ŽIVICE</t>
  </si>
  <si>
    <t>886</t>
  </si>
  <si>
    <t>21000000R142</t>
  </si>
  <si>
    <t>š. do 35cm, HLOUBKY 60cm -  HORNINA tr. 4</t>
  </si>
  <si>
    <t>887</t>
  </si>
  <si>
    <t>21000000R143</t>
  </si>
  <si>
    <t>š. do 50cm, HLOUBKY 100cm -  HORNINA tr. 4</t>
  </si>
  <si>
    <t>888</t>
  </si>
  <si>
    <t>21000000R144</t>
  </si>
  <si>
    <t>Lože z prohozeného výkopku (zeminy)  - 10 cm</t>
  </si>
  <si>
    <t>889</t>
  </si>
  <si>
    <t>21000000R145</t>
  </si>
  <si>
    <t>Potrubí pri krížení</t>
  </si>
  <si>
    <t>890</t>
  </si>
  <si>
    <t>21000000R146</t>
  </si>
  <si>
    <t>Kabelu a potrubí pri soubehu</t>
  </si>
  <si>
    <t>891</t>
  </si>
  <si>
    <t>21000000R147</t>
  </si>
  <si>
    <t>Výstražná folie š. 35cm vc dodávky folie</t>
  </si>
  <si>
    <t>892</t>
  </si>
  <si>
    <t>21000000R148</t>
  </si>
  <si>
    <t>Plastové trouby vc. osazení a utesnení  (D63)</t>
  </si>
  <si>
    <t>893</t>
  </si>
  <si>
    <t>21000000R149</t>
  </si>
  <si>
    <t>894</t>
  </si>
  <si>
    <t>21000000R150</t>
  </si>
  <si>
    <t>895</t>
  </si>
  <si>
    <t>21000000R151</t>
  </si>
  <si>
    <t>Odvoz horniny, suti a vybouraných hmot - do 50 m</t>
  </si>
  <si>
    <t>896</t>
  </si>
  <si>
    <t>21000000R152</t>
  </si>
  <si>
    <t>Odvoz horniny, suti a vybouraných hmot - do 1000 m</t>
  </si>
  <si>
    <t>897</t>
  </si>
  <si>
    <t>21000000R153</t>
  </si>
  <si>
    <t>Provizorní úprava terénu do tr. 4</t>
  </si>
  <si>
    <t>898</t>
  </si>
  <si>
    <t>21000000R154</t>
  </si>
  <si>
    <t>Trubky pod omítku, plastové ohebné vc. spoju a úchytu</t>
  </si>
  <si>
    <t>899</t>
  </si>
  <si>
    <t>21000000R155</t>
  </si>
  <si>
    <t>Drátený žlab pozinkovaný - vc. úchytu a spoju - 35/100</t>
  </si>
  <si>
    <t>900</t>
  </si>
  <si>
    <t>21000000R156</t>
  </si>
  <si>
    <t>Drátený žlab pozinkovaný - vc. úchytu a spoju - 110/200</t>
  </si>
  <si>
    <t>901</t>
  </si>
  <si>
    <t>21000000R157</t>
  </si>
  <si>
    <t>Rozvodka kovová pancérová 4xP21</t>
  </si>
  <si>
    <t>902</t>
  </si>
  <si>
    <t>21000000R158</t>
  </si>
  <si>
    <t>Krabice pod omítku KR 250 vc. svorkovnice a vícka</t>
  </si>
  <si>
    <t>903</t>
  </si>
  <si>
    <t>21000000R159</t>
  </si>
  <si>
    <t>CYY, CYA - 25mm2</t>
  </si>
  <si>
    <t>904</t>
  </si>
  <si>
    <t>21000000R160</t>
  </si>
  <si>
    <t>CYY, CYA - 16mm2</t>
  </si>
  <si>
    <t>905</t>
  </si>
  <si>
    <t>21000000R161</t>
  </si>
  <si>
    <t>2x CYKY 5x16mm2</t>
  </si>
  <si>
    <t>906</t>
  </si>
  <si>
    <t>21000000R162</t>
  </si>
  <si>
    <t>CYKY 5x1,5mm2</t>
  </si>
  <si>
    <t>907</t>
  </si>
  <si>
    <t>21000000R163</t>
  </si>
  <si>
    <t>908</t>
  </si>
  <si>
    <t>21000000R164</t>
  </si>
  <si>
    <t>Ukoncení vodicu - oznacení a zapojení - rozvadec - do mm2 - 10/16</t>
  </si>
  <si>
    <t>909</t>
  </si>
  <si>
    <t>21000000R165</t>
  </si>
  <si>
    <t>Jímací vedení vc. podper - z vodice AlMg SI 8mm</t>
  </si>
  <si>
    <t>910</t>
  </si>
  <si>
    <t>21000000R166</t>
  </si>
  <si>
    <t>Svorky hromosvodné - SS</t>
  </si>
  <si>
    <t>911</t>
  </si>
  <si>
    <t>21000000R167</t>
  </si>
  <si>
    <t>Svorky hromosvodné - SP</t>
  </si>
  <si>
    <t>912</t>
  </si>
  <si>
    <t>21000000R168</t>
  </si>
  <si>
    <t>Úpravy v RH (doplnení pro FVE)</t>
  </si>
  <si>
    <t>913</t>
  </si>
  <si>
    <t>21000000R169</t>
  </si>
  <si>
    <t>Pomocné práce, prostrih a pomocný materiál (napr. sádra, hmoždinky, apod.)</t>
  </si>
  <si>
    <t>914</t>
  </si>
  <si>
    <t>21000000R170</t>
  </si>
  <si>
    <t>FVE panel monokrystalický, výkon 500Wp (deleno do peti strinku/2x14ks+3x13ks)</t>
  </si>
  <si>
    <t>915</t>
  </si>
  <si>
    <t>21000000R171</t>
  </si>
  <si>
    <t>Strídac 40- 50kW, s plynulovou/diskrétní riditelností dodávaného príkonu umožnující regulaci výkonu výrobny el. energie. 3f, asymetrický, beztransform</t>
  </si>
  <si>
    <t>916</t>
  </si>
  <si>
    <t>21000000R172</t>
  </si>
  <si>
    <t>Nosné kce. FVE panelu - montážní systém pro zelené strechy Novotegra se záteží substrátu</t>
  </si>
  <si>
    <t>917</t>
  </si>
  <si>
    <t>21000000R173</t>
  </si>
  <si>
    <t>Optimizéry (Power) 15kW</t>
  </si>
  <si>
    <t>sada</t>
  </si>
  <si>
    <t>918</t>
  </si>
  <si>
    <t>21000000R174</t>
  </si>
  <si>
    <t>Bateriové uložište LFP o výkonu 24kW</t>
  </si>
  <si>
    <t>919</t>
  </si>
  <si>
    <t>21000000R175</t>
  </si>
  <si>
    <t>Rozvadec výrobny elektrické energie R-FVE vc nabíjecí stanice</t>
  </si>
  <si>
    <t>920</t>
  </si>
  <si>
    <t>21000000R176</t>
  </si>
  <si>
    <t>Kabeláž na strane FVE  a v tech. místnosti vc. drátenného žlabu- uložení kabelu</t>
  </si>
  <si>
    <t>921</t>
  </si>
  <si>
    <t>21000000R177</t>
  </si>
  <si>
    <t>Instalacní a montážní práce pro FVE vc kabeláže, koncovek, krabic a zapojení vc. oživení FVE</t>
  </si>
  <si>
    <t>922</t>
  </si>
  <si>
    <t>21000000R178</t>
  </si>
  <si>
    <t>Stavební a bourací práce</t>
  </si>
  <si>
    <t>923</t>
  </si>
  <si>
    <t>21000000R183</t>
  </si>
  <si>
    <t>SO02</t>
  </si>
  <si>
    <t>Parkovací prístrešek</t>
  </si>
  <si>
    <t>924</t>
  </si>
  <si>
    <t>131201110R00</t>
  </si>
  <si>
    <t>Hloubení nezapaž. jam hor.3 do 50 m3, STROJNÌ</t>
  </si>
  <si>
    <t>SO02_10_1_</t>
  </si>
  <si>
    <t>SO02_</t>
  </si>
  <si>
    <t>dle v.c. 09</t>
  </si>
  <si>
    <t>3,2*2,0*(0,5+0,25)*6</t>
  </si>
  <si>
    <t>925</t>
  </si>
  <si>
    <t>28,8*0,5</t>
  </si>
  <si>
    <t>926</t>
  </si>
  <si>
    <t>927</t>
  </si>
  <si>
    <t>28,8*10</t>
  </si>
  <si>
    <t>928</t>
  </si>
  <si>
    <t>929</t>
  </si>
  <si>
    <t>SO02_10_2_</t>
  </si>
  <si>
    <t>31,63</t>
  </si>
  <si>
    <t>930</t>
  </si>
  <si>
    <t>275313711R00</t>
  </si>
  <si>
    <t>Beton základových patek prostý C 25/30</t>
  </si>
  <si>
    <t>3,2*2,0*0,5*6</t>
  </si>
  <si>
    <t>0,4*0,85*0,25*6</t>
  </si>
  <si>
    <t>931</t>
  </si>
  <si>
    <t>275351215R00</t>
  </si>
  <si>
    <t>Bednení sten základových patek - zrízení</t>
  </si>
  <si>
    <t>dle v. c. 09</t>
  </si>
  <si>
    <t>(3,2+2,0)*0,5*2*6</t>
  </si>
  <si>
    <t>(0,4+0,85)*2*0,25*6</t>
  </si>
  <si>
    <t>932</t>
  </si>
  <si>
    <t>275351216R00</t>
  </si>
  <si>
    <t>Bednení stìn základových patek - odstranení</t>
  </si>
  <si>
    <t>Kryty pozemních komunikací, letiš a ploch z betonu a ostatních hmot</t>
  </si>
  <si>
    <t>933</t>
  </si>
  <si>
    <t>581200001RA0</t>
  </si>
  <si>
    <t>Zpevnené plochy - plocha carportu - venkovní CB litá betonová podlaha kartácovaná, komplet skladba vc. podkladu a zem. prací</t>
  </si>
  <si>
    <t>10_58_</t>
  </si>
  <si>
    <t>SO02_10_5_</t>
  </si>
  <si>
    <t>31,63*8,765</t>
  </si>
  <si>
    <t>934</t>
  </si>
  <si>
    <t>Žlab odvodnovací venk. zpev. ploch, komplet vc. mrížky, napojení, lože</t>
  </si>
  <si>
    <t>935</t>
  </si>
  <si>
    <t>998224111R00</t>
  </si>
  <si>
    <t>Presun hmot, pozemní komunikace, kryt betonový</t>
  </si>
  <si>
    <t>SO02_10_9_</t>
  </si>
  <si>
    <t>936</t>
  </si>
  <si>
    <t>Operná zed z pozink plechu, kompletní provedení vc. povrchu a všech kotev. a pom. kcí a prvku, vc. patek, v. cca 1670mm</t>
  </si>
  <si>
    <t>SO02_50_76_</t>
  </si>
  <si>
    <t xml:space="preserve"> - dle popisu v pd</t>
  </si>
  <si>
    <t>937</t>
  </si>
  <si>
    <t>Konstrukce carportu, komplet vc. povrchu, zastrešení a všech dopnku a detailu</t>
  </si>
  <si>
    <t>938</t>
  </si>
  <si>
    <t>998767201R00</t>
  </si>
  <si>
    <t>Presun hmot pro zámernické konstr., výšky do 6 m</t>
  </si>
  <si>
    <t>X01</t>
  </si>
  <si>
    <t>NEZPUSOBILÉ NÁKLADY</t>
  </si>
  <si>
    <t>Kryty pozemních komunikací, letišt a ploch z kameniva nebo živicné</t>
  </si>
  <si>
    <t>939</t>
  </si>
  <si>
    <t>573400012RAR</t>
  </si>
  <si>
    <t>Komunikace z jemné živicné asf. smesi, komplet skladba vc. zem. prací a obrub z L profilu</t>
  </si>
  <si>
    <t>10_57_</t>
  </si>
  <si>
    <t>X01_10_5_</t>
  </si>
  <si>
    <t>X01_</t>
  </si>
  <si>
    <t>dle koo sit.</t>
  </si>
  <si>
    <t>940</t>
  </si>
  <si>
    <t>Zpevnené plochy - venkovní CB litá betonová podlaha kartácovaná, komplet skladba vc. podkladu a zem. prací</t>
  </si>
  <si>
    <t>48,83-(3,0*0,41+2,867*0,41*4)</t>
  </si>
  <si>
    <t>22,802-(1,4*0,41+1,267*0,41*5)</t>
  </si>
  <si>
    <t>261,24-0,41*(4,7+3,0*4+2,425+2,035+1,33*6+2,32+7,33*2+3,0*4+7,33*2+3,0*2)</t>
  </si>
  <si>
    <t>661,765</t>
  </si>
  <si>
    <t>941</t>
  </si>
  <si>
    <t>591040032RAB</t>
  </si>
  <si>
    <t>Zpevnené plochy - prístupové plochy kolem objektu - ostruvky v cb podlaze ze zatravnovací dlažby, komplet skladba vc. podkladu a zem. prací</t>
  </si>
  <si>
    <t xml:space="preserve"> (viz pr. c. 1 tz ASR - ASR-C_03)</t>
  </si>
  <si>
    <t>(3,0*0,41+2,867*0,41*4)</t>
  </si>
  <si>
    <t>(1,4*0,41+1,267*0,41*5)</t>
  </si>
  <si>
    <t>0,41*(4,7+3,0*4+2,425+2,035+1,33*6+2,32+7,33*2+3,0*4+7,33*2+3,0*2)</t>
  </si>
  <si>
    <t>dle koo sit</t>
  </si>
  <si>
    <t>942</t>
  </si>
  <si>
    <t>Žlab odvodnovací 200 venkovních zpev. ploch ,komplet vc. roštu, lože, atd. (viz pr. c. 1 tz ASR - ASR-C_01)</t>
  </si>
  <si>
    <t>42,371</t>
  </si>
  <si>
    <t>943</t>
  </si>
  <si>
    <t>591040033RAR</t>
  </si>
  <si>
    <t>Zpevnené plochy - zasakovací rošty, zatravnovací dlažba, komplet skladba vc. podkladu, obrub a zem. prací (viz ASR-C_04)</t>
  </si>
  <si>
    <t>16,5*5,85</t>
  </si>
  <si>
    <t>231,3</t>
  </si>
  <si>
    <t>944</t>
  </si>
  <si>
    <t>591040033RBR</t>
  </si>
  <si>
    <t>Zpevnené plochy - zasakovací rošty, zatravnovací dlažba zasypaná šterkem, komplet skladba vc. podkladu, obrub a zem. prací</t>
  </si>
  <si>
    <t xml:space="preserve"> (viz pr. c. 1 tz ASR - ASR-C_05)</t>
  </si>
  <si>
    <t>Hodinové zúctovací sazby (HZS)</t>
  </si>
  <si>
    <t>945</t>
  </si>
  <si>
    <t>904      R02</t>
  </si>
  <si>
    <t>Hzs-zkousky v ramci montaz.praci</t>
  </si>
  <si>
    <t>h</t>
  </si>
  <si>
    <t>10_90_</t>
  </si>
  <si>
    <t>X01_10_9_</t>
  </si>
  <si>
    <t>Topná zkouška</t>
  </si>
  <si>
    <t>946</t>
  </si>
  <si>
    <t>904      R0R</t>
  </si>
  <si>
    <t>Spuštení a uvedení do provozu (topení)</t>
  </si>
  <si>
    <t>Doplnující konstrukce a práce na pozemních komunikacích a zpevnených plochách</t>
  </si>
  <si>
    <t>947</t>
  </si>
  <si>
    <t>915491111R0R</t>
  </si>
  <si>
    <t>Dopravní znacení, komplet</t>
  </si>
  <si>
    <t>10_91_</t>
  </si>
  <si>
    <t>948</t>
  </si>
  <si>
    <t>952901299R00</t>
  </si>
  <si>
    <t>949</t>
  </si>
  <si>
    <t>981010020RAR</t>
  </si>
  <si>
    <t xml:space="preserve">Demolice budov z cihel postupným rozebráním	</t>
  </si>
  <si>
    <t xml:space="preserve">vcetne odpojení a vyklizení objektu												
</t>
  </si>
  <si>
    <t>dle tz</t>
  </si>
  <si>
    <t>486+308+2085,34</t>
  </si>
  <si>
    <t>950</t>
  </si>
  <si>
    <t>981020030RAR</t>
  </si>
  <si>
    <t xml:space="preserve">Demolice budov z železobetonu	</t>
  </si>
  <si>
    <t>1631</t>
  </si>
  <si>
    <t>951</t>
  </si>
  <si>
    <t>979081111R00</t>
  </si>
  <si>
    <t>Odvoz suti a vybour. hmot na skládku do 1 km</t>
  </si>
  <si>
    <t>952</t>
  </si>
  <si>
    <t>979081121R00</t>
  </si>
  <si>
    <t>Príplatek k odvozu za každý další 1 km</t>
  </si>
  <si>
    <t>1692,789*19</t>
  </si>
  <si>
    <t>953</t>
  </si>
  <si>
    <t>979999997R00</t>
  </si>
  <si>
    <t>Poplatek za recyklaci smesi</t>
  </si>
  <si>
    <t>954</t>
  </si>
  <si>
    <t>979990107R00</t>
  </si>
  <si>
    <t>Poplatek za uložení suti - smes</t>
  </si>
  <si>
    <t>507,8367-(0,331316+0,91087+24,23266+32,4455)</t>
  </si>
  <si>
    <t>955</t>
  </si>
  <si>
    <t>979990121R00</t>
  </si>
  <si>
    <t>Poplatek za uložení suti - asfaltové pásy, skupina odpadu 170302</t>
  </si>
  <si>
    <t>VORN</t>
  </si>
  <si>
    <t>Vedlejší a ostatní rozpoctové náklady</t>
  </si>
  <si>
    <t>01VRN</t>
  </si>
  <si>
    <t>Prùzkumy, geodetické a projektové práce</t>
  </si>
  <si>
    <t>956</t>
  </si>
  <si>
    <t>010001VRN</t>
  </si>
  <si>
    <t>Vytýcení a geodetické práce</t>
  </si>
  <si>
    <t>Soubor</t>
  </si>
  <si>
    <t>10_01VRN_</t>
  </si>
  <si>
    <t>X01_10_Â _</t>
  </si>
  <si>
    <t>957</t>
  </si>
  <si>
    <t>013002VRN</t>
  </si>
  <si>
    <t xml:space="preserve">Výrobní a dílenská dokumentace, dokumentace skutecného provedení				</t>
  </si>
  <si>
    <t>03VRN</t>
  </si>
  <si>
    <t>Zarízení stavenište</t>
  </si>
  <si>
    <t>958</t>
  </si>
  <si>
    <t>030001VRN</t>
  </si>
  <si>
    <t>Zažízení stavenište</t>
  </si>
  <si>
    <t>10_03VRN_</t>
  </si>
  <si>
    <t>vc. prípravy a odstranení</t>
  </si>
  <si>
    <t>04VRN</t>
  </si>
  <si>
    <t>Inženýrské cinnosti</t>
  </si>
  <si>
    <t>959</t>
  </si>
  <si>
    <t>043002VRN</t>
  </si>
  <si>
    <t xml:space="preserve">Zkoušky - tlaková metoda (2 kusy), záverecný PENB				</t>
  </si>
  <si>
    <t>10_04VRN_</t>
  </si>
  <si>
    <t>960</t>
  </si>
  <si>
    <t>045002VRN</t>
  </si>
  <si>
    <t>Náklady na soutež, kompletaci a koordinaci</t>
  </si>
  <si>
    <t>05VRN</t>
  </si>
  <si>
    <t>Financní náklady</t>
  </si>
  <si>
    <t>961</t>
  </si>
  <si>
    <t>056002VRN</t>
  </si>
  <si>
    <t>Bankovní záruky a pojištení</t>
  </si>
  <si>
    <t>10_05VRN_</t>
  </si>
  <si>
    <t>06VRN</t>
  </si>
  <si>
    <t>Územní vlivy</t>
  </si>
  <si>
    <t>962</t>
  </si>
  <si>
    <t>060001VRN</t>
  </si>
  <si>
    <t>10_06VRN_</t>
  </si>
  <si>
    <t>963</t>
  </si>
  <si>
    <t>065002VRN</t>
  </si>
  <si>
    <t>Mimostaveništní doprava</t>
  </si>
  <si>
    <t>07VRN</t>
  </si>
  <si>
    <t>Provozní vlivy</t>
  </si>
  <si>
    <t>964</t>
  </si>
  <si>
    <t>070001VRN</t>
  </si>
  <si>
    <t>10_07VRN_</t>
  </si>
  <si>
    <t>09VRN</t>
  </si>
  <si>
    <t>Ostatní náklady</t>
  </si>
  <si>
    <t>965</t>
  </si>
  <si>
    <t>090001VRN</t>
  </si>
  <si>
    <t>Ostatní náklady - DIO, zábory, pruzkumy</t>
  </si>
  <si>
    <t>10_09VRN_</t>
  </si>
  <si>
    <t>966</t>
  </si>
  <si>
    <t>X01_50_7D_</t>
  </si>
  <si>
    <t>967</t>
  </si>
  <si>
    <t>21000000R182</t>
  </si>
  <si>
    <t>Záverecné zkoušky a merení . Zaucení obsluhy a zkušební  provoz.</t>
  </si>
  <si>
    <t>X01_M1_9_</t>
  </si>
  <si>
    <t>968</t>
  </si>
  <si>
    <t>21000000R184</t>
  </si>
  <si>
    <t>Výchozí revize + hlídací služba</t>
  </si>
  <si>
    <t>Celkem:</t>
  </si>
  <si>
    <t>Poznámka:</t>
  </si>
  <si>
    <t>Soupis dodávek a prací - rekapitulace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</si>
  <si>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</si>
  <si>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</si>
  <si>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</si>
  <si>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</si>
  <si>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</si>
  <si>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</si>
  <si>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Krycí list rozpoctu</t>
  </si>
  <si>
    <t>ICO/DIC: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</si>
  <si>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</si>
  <si>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</si>
  <si>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</si>
  <si>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</si>
  <si>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</si>
  <si>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</si>
  <si>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</si>
  <si>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</si>
  <si>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</si>
  <si>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</si>
  <si>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prescas</t>
  </si>
  <si>
    <t>Zařízení staveniště</t>
  </si>
  <si>
    <t>Bez pevné podl.</t>
  </si>
  <si>
    <t>Mimostav. doprava</t>
  </si>
  <si>
    <t>Kulturní památka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</si>
  <si>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</si>
  <si>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</si>
  <si>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</si>
  <si>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</si>
  <si>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</si>
  <si>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</si>
  <si>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</si>
  <si>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</si>
  <si>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0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</si>
  <si>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</si>
  <si>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</si>
  <si>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</si>
  <si>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</si>
  <si>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</si>
  <si>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</si>
  <si>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</si>
  <si>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</si>
  <si>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</si>
  <si>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</si>
  <si>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</si>
  <si>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</si>
  <si>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</si>
  <si>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</si>
  <si>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</si>
  <si>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</si>
  <si>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</si>
  <si>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</si>
  <si>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Základna</t>
  </si>
  <si>
    <t>Celkem DN</t>
  </si>
  <si>
    <t>NUS z rozpoctu</t>
  </si>
  <si>
    <t>Celkem NUS</t>
  </si>
  <si>
    <t>Celkem VRN</t>
  </si>
  <si>
    <t>Vedlejší a ostatní rozpočtové náklady VORN</t>
  </si>
  <si>
    <t>Ostatní rozpočtové náklady (VORN)</t>
  </si>
  <si>
    <t>Pruzkumy, geodetické a projektové práce</t>
  </si>
  <si>
    <t>Príprava stavenište</t>
  </si>
  <si>
    <t>Náklady na pracovníky</t>
  </si>
  <si>
    <t>Vlastní VORN</t>
  </si>
  <si>
    <t>Celkem VORN</t>
  </si>
  <si>
    <t>Č</t>
  </si>
  <si>
    <t>400 x 400 mm, s nástavcem</t>
  </si>
  <si>
    <t>Tlf skrín pod omítku (FAB) (ref. výr. MRK20)</t>
  </si>
  <si>
    <t>952901291R0R</t>
  </si>
  <si>
    <t>Interiérové prvky Soklová lišta délky 2,5m  "negat. spára" z hliníku pro masiv. stenu se stínící drážkou 20mm - podrobne viz pr. C. 1 tz ASR - PI_01</t>
  </si>
  <si>
    <t>kompletní provedení vc. veškerých detailu, opracování rohu, atd. - vysoká pracnost a nárok na dokonalou presnost a napojení - podrobne viz pr. C. 1 tz ASR - PI_01</t>
  </si>
  <si>
    <t>952901292R00</t>
  </si>
  <si>
    <t>Interiérové prvky - Záclonvá hliníková lišta zapuštená do SDK</t>
  </si>
  <si>
    <t>kompletní provedení vc. veškerých detailu - vysoká pracnost a nárok na dokonalou presnost a napojení - podrobne viz pr. C. 1 tz ASR - PI_02</t>
  </si>
  <si>
    <t>952901293R00</t>
  </si>
  <si>
    <t>Interiérové prvky - Ventilacní mrížka 6x40, bílá</t>
  </si>
  <si>
    <t>kompletní provedení vc. veškerých detailu - vysoká pracnost a nárok na dokonalou presnost a napojení - podrobne viz pr. C. 1 tz ASR - PI_03a</t>
  </si>
  <si>
    <t>Interiérové prvky - Ventilacní rohová mrížka 40x60x6 cerná pravá</t>
  </si>
  <si>
    <t>kompletní provedení vc. veškerých detailu - vysoká pracnost a nárok na dokonalou presnost a napojení - podrobne viz pr. C. 1 tz ASR - PI_03b</t>
  </si>
  <si>
    <t>952901295R00</t>
  </si>
  <si>
    <t>Interiérové prvky - Soklové lišty z elox. hliníku, výška 70mm délky 5m</t>
  </si>
  <si>
    <t>kompletní provedení vc. veškerých detailu, opracování rohu, atd. - vysoká pracnost a nárok na dokonalou presnost a napojení - podrobne viz pr. C. 1 tz ASR - PI_06</t>
  </si>
  <si>
    <t>969</t>
  </si>
  <si>
    <t>970</t>
  </si>
  <si>
    <t>971</t>
  </si>
  <si>
    <t>972</t>
  </si>
  <si>
    <t>Interiérové prvky - Záclonvá hliníková lišta zapuštená do SDK délky 1,1m</t>
  </si>
  <si>
    <t xml:space="preserve"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                                                                                                                                                                                Výmery jsou ve výkazu výmer stanoveny jako „cisté“, odectené  z výkresové dokumentace, pokud není konkrétne uvedeno jinak.							             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                                                                                                                                                                          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								
</t>
  </si>
  <si>
    <t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Výmery jsou ve výkazu výmer stanoveny jako „cisté“, odectené  z výkresové dokumentace, pokud není konkrétne uvedeno jinak.							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</t>
  </si>
  <si>
    <t>dle v. c. 04 - stav. cásti - 2.np - cca (0,606+0,61)*2*2,7</t>
  </si>
  <si>
    <t>1,8+44,7+11,9+44,1+40,5+26,1+22,5+32,2+9,2+9,0</t>
  </si>
  <si>
    <t>581,812+20*1,4*(0,152+0,29)</t>
  </si>
  <si>
    <t>(1,8+44,7+11,9+44,1+40,5+26,1+22,5+32,2+9,2+9,0)*4</t>
  </si>
  <si>
    <t>1,2*1,2+9*1,2*(0,26+0,175)</t>
  </si>
  <si>
    <t>1.04</t>
  </si>
  <si>
    <t>1,2*1,2</t>
  </si>
  <si>
    <t>583,252</t>
  </si>
  <si>
    <t>;ztratné 10%; 58,3252</t>
  </si>
  <si>
    <t>9*1,2</t>
  </si>
  <si>
    <t>m.c. 1.04 - sch 1.np</t>
  </si>
  <si>
    <t>9*1,2*(0,26+0,175)</t>
  </si>
  <si>
    <t>;ztratné 10%; 1,7074</t>
  </si>
  <si>
    <t>1.np - 1..04</t>
  </si>
  <si>
    <t>(1,8+44,7+11,9+44,1+40,5+26,1+22,5+32,2+9,2+9,0+1,2*1,2)</t>
  </si>
  <si>
    <t>1.01,02,03,04,07,10,13,17,22,23,24</t>
  </si>
  <si>
    <t>(1,8+44,7+11,9+44,1+40,5+26,1+22,5+32,2+9,2+9,0+1,2*1,2)*2</t>
  </si>
  <si>
    <t>1.01,02,03,04 cást,07,10,13,17,22,23,24</t>
  </si>
  <si>
    <t>;ztratné 2%; 14,4696</t>
  </si>
  <si>
    <t>1,8+44,7+11,9+4,1+44,1+40,5+26,1+22,5+32,2+9,2+9,0</t>
  </si>
  <si>
    <t>1,2*1,2*4</t>
  </si>
  <si>
    <t>01b - Okno, kompletní provedení vc. všech doplnku a detailu, vc. podkl. prof. - dle popisu v pd (podrobne viz tab. vnejš. výpln. otvoru)</t>
  </si>
  <si>
    <t>podlaha pod sch v 1.np</t>
  </si>
  <si>
    <t>632922999RTR</t>
  </si>
  <si>
    <t>Podlaha z kompaktních desek s bílým jádrem, komplet - dle popisu v pd</t>
  </si>
  <si>
    <t>973</t>
  </si>
  <si>
    <t>974</t>
  </si>
  <si>
    <t>976</t>
  </si>
  <si>
    <t>977</t>
  </si>
  <si>
    <t>725100002RAR</t>
  </si>
  <si>
    <t>Granitový drez s odkapem</t>
  </si>
  <si>
    <t>provedení Matná cerná, vana vpravo, rozmer 78 x 50 cm, horní montáž. Soucástí drezu je kompletní príslušenství k montáži. (výpust, sifon, príchytky atd.)</t>
  </si>
  <si>
    <t>725100003RAR</t>
  </si>
  <si>
    <t>Nerezový velkokapacitní dvojdrez na nohou v rozmeru 1400 x 700 x 850</t>
  </si>
  <si>
    <t>767841115R0R</t>
  </si>
  <si>
    <t>Dodávka a montáž záchytného systému dle návrhu odpovedné osoby certifikovaného dodavatele záchytného systému</t>
  </si>
  <si>
    <t>Odpovednou osobu certifikovaného dodavatele záchytného systému vypracovaný návrh systému zachycení (zadržení) pádu osob ze strechy</t>
  </si>
  <si>
    <t>975</t>
  </si>
  <si>
    <t>Dekontaminacní stul na zakázku s integrovaným dvoudrezem</t>
  </si>
  <si>
    <t>Materiál: Nerezová ocel, tl. 2mm
Rozměry: rozměr dotažen až ke stěně x 700 x 850 mm (šířka x hloubka x výška)
Dřezy: Dvoudřez o rozměrech 400 x 400 x 250 mm
Lemy: Zadní + boční lemy, přední lem zaoblený
Úložný prostor: Spodní police                                                                                                                                                                                                                                                                                                                                                                        Vodovodní baterie: Nástěnná s ohebnou hadicí
Odpadní systém: Sifon dřezový nízký vč.
Pomocný materiál na dopojení odpadu</t>
  </si>
  <si>
    <t>Nerezový  závěsný dvojdřez s nerez. opláštěním, bez otvoru pro baterii  v rozměru 870 x 440 x 315, materiál AISI - 304, povrch matný</t>
  </si>
  <si>
    <t>725017199R0R</t>
  </si>
  <si>
    <t>Nástenná baterie</t>
  </si>
  <si>
    <t>povrchová úprava Long-Life
46mm keramická kartuše SilkMove
maximální prutok (pri 3 barech): 8 l/min
nastavitelný minimální prutok približne 2,5 l/min
nastavitelný omezovac teploty
nastavitelný omezovac prutoku
laminární vyrovnávac prutoku
otocná výpust, uzamykatelná
délka 222 mm
kovová rukojet
délka páky 170 mm
bez S-prípojek"</t>
  </si>
  <si>
    <t>76799001RA24</t>
  </si>
  <si>
    <t>Z24 - Operná zed, kompletní provedení vc. povrchu a všech kotev. a pom. kcí a prvku - dle popisu v pd (podrobne viz tab. zám. prvku)</t>
  </si>
  <si>
    <t>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</si>
</sst>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1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1"/>
      <name val="Calibri"/>
      <family val="2"/>
    </font>
    <font>
      <i/>
      <sz val="10"/>
      <color rgb="FF000000"/>
      <name val="Arial"/>
      <family val="2"/>
      <charset val="238"/>
    </font>
    <font>
      <i/>
      <sz val="11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BDBDB"/>
        <bgColor rgb="FFDBDBDB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3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4" fontId="2" fillId="0" borderId="4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4" fontId="10" fillId="0" borderId="52" xfId="0" applyNumberFormat="1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9" fillId="0" borderId="55" xfId="0" applyFont="1" applyBorder="1" applyAlignment="1">
      <alignment horizontal="left" vertical="center"/>
    </xf>
    <xf numFmtId="4" fontId="10" fillId="0" borderId="59" xfId="0" applyNumberFormat="1" applyFont="1" applyBorder="1" applyAlignment="1">
      <alignment horizontal="right" vertical="center"/>
    </xf>
    <xf numFmtId="0" fontId="10" fillId="0" borderId="59" xfId="0" applyFont="1" applyBorder="1" applyAlignment="1">
      <alignment horizontal="right" vertical="center"/>
    </xf>
    <xf numFmtId="4" fontId="10" fillId="0" borderId="50" xfId="0" applyNumberFormat="1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4" fontId="10" fillId="0" borderId="30" xfId="0" applyNumberFormat="1" applyFont="1" applyBorder="1" applyAlignment="1">
      <alignment horizontal="right" vertical="center"/>
    </xf>
    <xf numFmtId="4" fontId="9" fillId="2" borderId="49" xfId="0" applyNumberFormat="1" applyFont="1" applyFill="1" applyBorder="1" applyAlignment="1">
      <alignment horizontal="right" vertical="center"/>
    </xf>
    <xf numFmtId="4" fontId="9" fillId="2" borderId="54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52" xfId="0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left" vertical="center"/>
    </xf>
    <xf numFmtId="4" fontId="3" fillId="0" borderId="78" xfId="0" applyNumberFormat="1" applyFont="1" applyBorder="1" applyAlignment="1">
      <alignment horizontal="right" vertical="center"/>
    </xf>
    <xf numFmtId="0" fontId="3" fillId="0" borderId="78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2" xfId="0" applyFont="1" applyBorder="1" applyAlignment="1">
      <alignment horizontal="right" vertical="center"/>
    </xf>
    <xf numFmtId="4" fontId="2" fillId="0" borderId="82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/>
    <xf numFmtId="4" fontId="13" fillId="0" borderId="0" xfId="0" applyNumberFormat="1" applyFont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4" fillId="0" borderId="0" xfId="0" applyFont="1"/>
    <xf numFmtId="0" fontId="11" fillId="0" borderId="10" xfId="0" applyFont="1" applyBorder="1" applyAlignment="1">
      <alignment horizontal="left" vertical="center"/>
    </xf>
    <xf numFmtId="4" fontId="11" fillId="0" borderId="10" xfId="0" applyNumberFormat="1" applyFont="1" applyBorder="1" applyAlignment="1">
      <alignment horizontal="right" vertical="center"/>
    </xf>
    <xf numFmtId="0" fontId="13" fillId="0" borderId="51" xfId="0" applyFont="1" applyBorder="1" applyAlignment="1">
      <alignment horizontal="left" vertical="center"/>
    </xf>
    <xf numFmtId="4" fontId="1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/>
    </xf>
    <xf numFmtId="4" fontId="3" fillId="0" borderId="51" xfId="0" applyNumberFormat="1" applyFont="1" applyBorder="1" applyAlignment="1">
      <alignment horizontal="right" vertical="center"/>
    </xf>
    <xf numFmtId="0" fontId="11" fillId="0" borderId="51" xfId="0" applyFont="1" applyBorder="1" applyAlignment="1">
      <alignment horizontal="left" vertical="center"/>
    </xf>
    <xf numFmtId="4" fontId="11" fillId="0" borderId="51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left" vertical="center"/>
    </xf>
    <xf numFmtId="4" fontId="3" fillId="0" borderId="55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3" borderId="51" xfId="0" applyFont="1" applyFill="1" applyBorder="1" applyAlignment="1">
      <alignment horizontal="left" vertical="center" wrapText="1"/>
    </xf>
    <xf numFmtId="4" fontId="2" fillId="3" borderId="51" xfId="0" applyNumberFormat="1" applyFont="1" applyFill="1" applyBorder="1" applyAlignment="1">
      <alignment horizontal="right" vertical="center" wrapText="1"/>
    </xf>
    <xf numFmtId="0" fontId="2" fillId="3" borderId="51" xfId="0" applyFont="1" applyFill="1" applyBorder="1" applyAlignment="1">
      <alignment horizontal="right" vertical="center" wrapText="1"/>
    </xf>
    <xf numFmtId="0" fontId="3" fillId="2" borderId="51" xfId="0" applyFont="1" applyFill="1" applyBorder="1" applyAlignment="1">
      <alignment horizontal="left" vertical="center" wrapText="1"/>
    </xf>
    <xf numFmtId="4" fontId="2" fillId="2" borderId="51" xfId="0" applyNumberFormat="1" applyFont="1" applyFill="1" applyBorder="1" applyAlignment="1">
      <alignment horizontal="right" vertical="center" wrapText="1"/>
    </xf>
    <xf numFmtId="0" fontId="2" fillId="2" borderId="5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 applyProtection="1">
      <alignment horizontal="right" vertical="center" wrapText="1"/>
      <protection locked="0"/>
    </xf>
    <xf numFmtId="0" fontId="3" fillId="0" borderId="51" xfId="0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51" xfId="0" applyBorder="1" applyAlignment="1">
      <alignment wrapText="1"/>
    </xf>
    <xf numFmtId="4" fontId="4" fillId="0" borderId="51" xfId="0" applyNumberFormat="1" applyFont="1" applyBorder="1" applyAlignment="1">
      <alignment horizontal="right" vertical="center" wrapText="1"/>
    </xf>
    <xf numFmtId="0" fontId="0" fillId="0" borderId="51" xfId="0" applyBorder="1" applyAlignment="1" applyProtection="1">
      <alignment wrapText="1"/>
      <protection locked="0"/>
    </xf>
    <xf numFmtId="0" fontId="3" fillId="2" borderId="51" xfId="0" applyFont="1" applyFill="1" applyBorder="1" applyAlignment="1" applyProtection="1">
      <alignment horizontal="left" vertical="center" wrapText="1"/>
      <protection locked="0"/>
    </xf>
    <xf numFmtId="0" fontId="3" fillId="3" borderId="51" xfId="0" applyFont="1" applyFill="1" applyBorder="1" applyAlignment="1" applyProtection="1">
      <alignment horizontal="left" vertical="center" wrapText="1"/>
      <protection locked="0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55" xfId="0" applyNumberFormat="1" applyFont="1" applyBorder="1" applyAlignment="1" applyProtection="1">
      <alignment horizontal="right" vertical="center" wrapText="1"/>
      <protection locked="0"/>
    </xf>
    <xf numFmtId="0" fontId="3" fillId="0" borderId="55" xfId="0" applyFont="1" applyBorder="1" applyAlignment="1">
      <alignment horizontal="right" vertical="center" wrapText="1"/>
    </xf>
    <xf numFmtId="1" fontId="3" fillId="0" borderId="51" xfId="0" applyNumberFormat="1" applyFont="1" applyBorder="1" applyAlignment="1">
      <alignment horizontal="right" vertical="center" wrapText="1"/>
    </xf>
    <xf numFmtId="1" fontId="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4" fontId="3" fillId="0" borderId="51" xfId="0" applyNumberFormat="1" applyFont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0" fillId="0" borderId="51" xfId="0" applyBorder="1"/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67" xfId="0" applyFont="1" applyBorder="1" applyAlignment="1" applyProtection="1">
      <alignment horizontal="left" vertical="center"/>
      <protection locked="0"/>
    </xf>
    <xf numFmtId="0" fontId="10" fillId="0" borderId="65" xfId="0" applyFont="1" applyBorder="1" applyAlignment="1" applyProtection="1">
      <alignment horizontal="left" vertical="center"/>
      <protection locked="0"/>
    </xf>
    <xf numFmtId="0" fontId="10" fillId="0" borderId="66" xfId="0" applyFont="1" applyBorder="1" applyAlignment="1" applyProtection="1">
      <alignment horizontal="left" vertical="center"/>
      <protection locked="0"/>
    </xf>
    <xf numFmtId="0" fontId="10" fillId="0" borderId="7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69" xfId="0" applyFont="1" applyBorder="1" applyAlignment="1" applyProtection="1">
      <alignment horizontal="left" vertical="center"/>
      <protection locked="0"/>
    </xf>
    <xf numFmtId="0" fontId="10" fillId="0" borderId="74" xfId="0" applyFont="1" applyBorder="1" applyAlignment="1" applyProtection="1">
      <alignment horizontal="left" vertical="center"/>
      <protection locked="0"/>
    </xf>
    <xf numFmtId="0" fontId="10" fillId="0" borderId="72" xfId="0" applyFont="1" applyBorder="1" applyAlignment="1" applyProtection="1">
      <alignment horizontal="left" vertical="center"/>
      <protection locked="0"/>
    </xf>
    <xf numFmtId="0" fontId="10" fillId="0" borderId="73" xfId="0" applyFont="1" applyBorder="1" applyAlignment="1" applyProtection="1">
      <alignment horizontal="left" vertical="center"/>
      <protection locked="0"/>
    </xf>
    <xf numFmtId="0" fontId="10" fillId="0" borderId="64" xfId="0" applyFont="1" applyBorder="1" applyAlignment="1" applyProtection="1">
      <alignment horizontal="left" vertical="center"/>
      <protection locked="0"/>
    </xf>
    <xf numFmtId="0" fontId="10" fillId="0" borderId="68" xfId="0" applyFont="1" applyBorder="1" applyAlignment="1" applyProtection="1">
      <alignment horizontal="left" vertical="center"/>
      <protection locked="0"/>
    </xf>
    <xf numFmtId="0" fontId="10" fillId="0" borderId="7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4" fontId="3" fillId="0" borderId="0" xfId="0" applyNumberFormat="1" applyFont="1" applyAlignment="1" applyProtection="1">
      <alignment horizontal="left" vertical="center"/>
      <protection locked="0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0" fontId="2" fillId="2" borderId="75" xfId="0" applyFont="1" applyFill="1" applyBorder="1" applyAlignment="1">
      <alignment horizontal="left" vertical="center" wrapText="1"/>
    </xf>
    <xf numFmtId="0" fontId="2" fillId="2" borderId="78" xfId="0" applyFont="1" applyFill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9" fillId="0" borderId="79" xfId="0" applyFont="1" applyBorder="1" applyAlignment="1">
      <alignment horizontal="left" vertical="center"/>
    </xf>
    <xf numFmtId="0" fontId="9" fillId="0" borderId="80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  <xf numFmtId="4" fontId="9" fillId="0" borderId="83" xfId="0" applyNumberFormat="1" applyFont="1" applyBorder="1" applyAlignment="1">
      <alignment horizontal="right" vertical="center"/>
    </xf>
    <xf numFmtId="0" fontId="9" fillId="0" borderId="80" xfId="0" applyFont="1" applyBorder="1" applyAlignment="1">
      <alignment horizontal="right" vertical="center"/>
    </xf>
    <xf numFmtId="0" fontId="9" fillId="0" borderId="81" xfId="0" applyFont="1" applyBorder="1" applyAlignment="1">
      <alignment horizontal="right" vertical="center"/>
    </xf>
    <xf numFmtId="14" fontId="3" fillId="0" borderId="6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zoomScaleNormal="100" workbookViewId="0">
      <selection activeCell="I30" sqref="I30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12" t="s">
        <v>4225</v>
      </c>
      <c r="B1" s="113"/>
      <c r="C1" s="113"/>
      <c r="D1" s="113"/>
      <c r="E1" s="113"/>
      <c r="F1" s="113"/>
      <c r="G1" s="113"/>
      <c r="H1" s="113"/>
      <c r="I1" s="113"/>
    </row>
    <row r="2" spans="1:9" x14ac:dyDescent="0.25">
      <c r="A2" s="114" t="s">
        <v>1</v>
      </c>
      <c r="B2" s="115"/>
      <c r="C2" s="125" t="str">
        <f>'Soupis dodávek a prací'!D2</f>
        <v>Nové stanovište ZZS SK Benešov</v>
      </c>
      <c r="D2" s="126"/>
      <c r="E2" s="119" t="s">
        <v>5</v>
      </c>
      <c r="F2" s="119" t="str">
        <f>'Soupis dodávek a prací'!J2</f>
        <v>Zdravotnická záchraná služba Stredoceského kraje</v>
      </c>
      <c r="G2" s="115"/>
      <c r="H2" s="119" t="s">
        <v>4226</v>
      </c>
      <c r="I2" s="121" t="s">
        <v>54</v>
      </c>
    </row>
    <row r="3" spans="1:9" ht="15" customHeight="1" x14ac:dyDescent="0.25">
      <c r="A3" s="116"/>
      <c r="B3" s="117"/>
      <c r="C3" s="127"/>
      <c r="D3" s="127"/>
      <c r="E3" s="117"/>
      <c r="F3" s="117"/>
      <c r="G3" s="117"/>
      <c r="H3" s="117"/>
      <c r="I3" s="122"/>
    </row>
    <row r="4" spans="1:9" x14ac:dyDescent="0.25">
      <c r="A4" s="118" t="s">
        <v>7</v>
      </c>
      <c r="B4" s="117"/>
      <c r="C4" s="120" t="str">
        <f>'Soupis dodávek a prací'!D4</f>
        <v xml:space="preserve"> </v>
      </c>
      <c r="D4" s="117"/>
      <c r="E4" s="120" t="s">
        <v>9</v>
      </c>
      <c r="F4" s="120" t="str">
        <f>'Soupis dodávek a prací'!J4</f>
        <v>Mag. Arch. Jaroslav Trávnícek</v>
      </c>
      <c r="G4" s="117"/>
      <c r="H4" s="120" t="s">
        <v>4226</v>
      </c>
      <c r="I4" s="122" t="s">
        <v>54</v>
      </c>
    </row>
    <row r="5" spans="1:9" ht="15" customHeight="1" x14ac:dyDescent="0.25">
      <c r="A5" s="116"/>
      <c r="B5" s="117"/>
      <c r="C5" s="117"/>
      <c r="D5" s="117"/>
      <c r="E5" s="117"/>
      <c r="F5" s="117"/>
      <c r="G5" s="117"/>
      <c r="H5" s="117"/>
      <c r="I5" s="122"/>
    </row>
    <row r="6" spans="1:9" x14ac:dyDescent="0.25">
      <c r="A6" s="118" t="s">
        <v>11</v>
      </c>
      <c r="B6" s="117"/>
      <c r="C6" s="120" t="str">
        <f>'Soupis dodávek a prací'!D6</f>
        <v>na parc. c. 1833/1, 1833/2, 1833/4, 1833/9, 1833/10, 1834/2, 1834/4, 1834/7, 1838 v k.ú. Benešov u P</v>
      </c>
      <c r="D6" s="117"/>
      <c r="E6" s="120" t="s">
        <v>14</v>
      </c>
      <c r="F6" s="120" t="str">
        <f>'Soupis dodávek a prací'!J6</f>
        <v>dle výberového rízení</v>
      </c>
      <c r="G6" s="117"/>
      <c r="H6" s="120" t="s">
        <v>4226</v>
      </c>
      <c r="I6" s="122" t="s">
        <v>54</v>
      </c>
    </row>
    <row r="7" spans="1:9" ht="25.5" customHeight="1" x14ac:dyDescent="0.25">
      <c r="A7" s="116"/>
      <c r="B7" s="117"/>
      <c r="C7" s="117"/>
      <c r="D7" s="117"/>
      <c r="E7" s="117"/>
      <c r="F7" s="117"/>
      <c r="G7" s="117"/>
      <c r="H7" s="117"/>
      <c r="I7" s="122"/>
    </row>
    <row r="8" spans="1:9" x14ac:dyDescent="0.25">
      <c r="A8" s="118" t="s">
        <v>8</v>
      </c>
      <c r="B8" s="117"/>
      <c r="C8" s="120" t="str">
        <f>'Soupis dodávek a prací'!H4</f>
        <v xml:space="preserve"> </v>
      </c>
      <c r="D8" s="117"/>
      <c r="E8" s="120" t="s">
        <v>13</v>
      </c>
      <c r="F8" s="120" t="str">
        <f>'Soupis dodávek a prací'!H6</f>
        <v xml:space="preserve"> </v>
      </c>
      <c r="G8" s="117"/>
      <c r="H8" s="117" t="s">
        <v>4227</v>
      </c>
      <c r="I8" s="123">
        <v>968</v>
      </c>
    </row>
    <row r="9" spans="1:9" x14ac:dyDescent="0.25">
      <c r="A9" s="116"/>
      <c r="B9" s="117"/>
      <c r="C9" s="117"/>
      <c r="D9" s="117"/>
      <c r="E9" s="117"/>
      <c r="F9" s="117"/>
      <c r="G9" s="117"/>
      <c r="H9" s="117"/>
      <c r="I9" s="124"/>
    </row>
    <row r="10" spans="1:9" x14ac:dyDescent="0.25">
      <c r="A10" s="118" t="s">
        <v>16</v>
      </c>
      <c r="B10" s="117"/>
      <c r="C10" s="120" t="str">
        <f>'Soupis dodávek a prací'!D8</f>
        <v xml:space="preserve"> </v>
      </c>
      <c r="D10" s="117"/>
      <c r="E10" s="120" t="s">
        <v>19</v>
      </c>
      <c r="F10" s="120" t="str">
        <f>'Soupis dodávek a prací'!J8</f>
        <v> </v>
      </c>
      <c r="G10" s="117"/>
      <c r="H10" s="117" t="s">
        <v>4228</v>
      </c>
      <c r="I10" s="222">
        <f>'Soupis dodávek a prací'!H8</f>
        <v>45389</v>
      </c>
    </row>
    <row r="11" spans="1:9" x14ac:dyDescent="0.25">
      <c r="A11" s="134"/>
      <c r="B11" s="128"/>
      <c r="C11" s="128"/>
      <c r="D11" s="128"/>
      <c r="E11" s="128"/>
      <c r="F11" s="128"/>
      <c r="G11" s="128"/>
      <c r="H11" s="128"/>
      <c r="I11" s="130"/>
    </row>
    <row r="12" spans="1:9" ht="23.25" x14ac:dyDescent="0.25">
      <c r="A12" s="131" t="s">
        <v>4229</v>
      </c>
      <c r="B12" s="131"/>
      <c r="C12" s="131"/>
      <c r="D12" s="131"/>
      <c r="E12" s="131"/>
      <c r="F12" s="131"/>
      <c r="G12" s="131"/>
      <c r="H12" s="131"/>
      <c r="I12" s="131"/>
    </row>
    <row r="13" spans="1:9" ht="26.25" customHeight="1" x14ac:dyDescent="0.25">
      <c r="A13" s="33" t="s">
        <v>4230</v>
      </c>
      <c r="B13" s="132" t="s">
        <v>4231</v>
      </c>
      <c r="C13" s="133"/>
      <c r="D13" s="34" t="s">
        <v>4232</v>
      </c>
      <c r="E13" s="132" t="s">
        <v>4233</v>
      </c>
      <c r="F13" s="133"/>
      <c r="G13" s="34" t="s">
        <v>4234</v>
      </c>
      <c r="H13" s="132" t="s">
        <v>4235</v>
      </c>
      <c r="I13" s="133"/>
    </row>
    <row r="14" spans="1:9" ht="15.75" x14ac:dyDescent="0.25">
      <c r="A14" s="35" t="s">
        <v>56</v>
      </c>
      <c r="B14" s="36" t="s">
        <v>4236</v>
      </c>
      <c r="C14" s="37">
        <f>SUM('Soupis dodávek a prací'!AB12:AB2852)</f>
        <v>0</v>
      </c>
      <c r="D14" s="141" t="s">
        <v>4237</v>
      </c>
      <c r="E14" s="142"/>
      <c r="F14" s="37">
        <f>VORN!I15</f>
        <v>0</v>
      </c>
      <c r="G14" s="141" t="s">
        <v>4238</v>
      </c>
      <c r="H14" s="142"/>
      <c r="I14" s="38">
        <f>VORN!I21</f>
        <v>0</v>
      </c>
    </row>
    <row r="15" spans="1:9" ht="15.75" x14ac:dyDescent="0.25">
      <c r="A15" s="39" t="s">
        <v>54</v>
      </c>
      <c r="B15" s="36" t="s">
        <v>37</v>
      </c>
      <c r="C15" s="37">
        <f>SUM('Soupis dodávek a prací'!AC12:AC2852)</f>
        <v>0</v>
      </c>
      <c r="D15" s="141" t="s">
        <v>4239</v>
      </c>
      <c r="E15" s="142"/>
      <c r="F15" s="37">
        <f>VORN!I16</f>
        <v>0</v>
      </c>
      <c r="G15" s="141" t="s">
        <v>4240</v>
      </c>
      <c r="H15" s="142"/>
      <c r="I15" s="38">
        <f>VORN!I22</f>
        <v>0</v>
      </c>
    </row>
    <row r="16" spans="1:9" ht="15.75" x14ac:dyDescent="0.25">
      <c r="A16" s="35" t="s">
        <v>1353</v>
      </c>
      <c r="B16" s="36" t="s">
        <v>4236</v>
      </c>
      <c r="C16" s="37">
        <f>SUM('Soupis dodávek a prací'!AD12:AD2852)</f>
        <v>0</v>
      </c>
      <c r="D16" s="141" t="s">
        <v>4241</v>
      </c>
      <c r="E16" s="142"/>
      <c r="F16" s="37">
        <f>VORN!I17</f>
        <v>0</v>
      </c>
      <c r="G16" s="141" t="s">
        <v>4189</v>
      </c>
      <c r="H16" s="142"/>
      <c r="I16" s="38">
        <f>VORN!I23</f>
        <v>0</v>
      </c>
    </row>
    <row r="17" spans="1:9" ht="15.75" x14ac:dyDescent="0.25">
      <c r="A17" s="39" t="s">
        <v>54</v>
      </c>
      <c r="B17" s="36" t="s">
        <v>37</v>
      </c>
      <c r="C17" s="37">
        <f>SUM('Soupis dodávek a prací'!AE12:AE2852)</f>
        <v>0</v>
      </c>
      <c r="D17" s="141" t="s">
        <v>54</v>
      </c>
      <c r="E17" s="142"/>
      <c r="F17" s="38" t="s">
        <v>54</v>
      </c>
      <c r="G17" s="141" t="s">
        <v>4197</v>
      </c>
      <c r="H17" s="142"/>
      <c r="I17" s="38">
        <f>VORN!I24</f>
        <v>0</v>
      </c>
    </row>
    <row r="18" spans="1:9" ht="15.75" x14ac:dyDescent="0.25">
      <c r="A18" s="35" t="s">
        <v>4242</v>
      </c>
      <c r="B18" s="36" t="s">
        <v>4236</v>
      </c>
      <c r="C18" s="37">
        <f>SUM('Soupis dodávek a prací'!AF12:AF2852)</f>
        <v>0</v>
      </c>
      <c r="D18" s="141" t="s">
        <v>54</v>
      </c>
      <c r="E18" s="142"/>
      <c r="F18" s="38" t="s">
        <v>54</v>
      </c>
      <c r="G18" s="141" t="s">
        <v>4243</v>
      </c>
      <c r="H18" s="142"/>
      <c r="I18" s="37">
        <f>VORN!I25</f>
        <v>0</v>
      </c>
    </row>
    <row r="19" spans="1:9" ht="15.75" x14ac:dyDescent="0.25">
      <c r="A19" s="39" t="s">
        <v>54</v>
      </c>
      <c r="B19" s="36" t="s">
        <v>37</v>
      </c>
      <c r="C19" s="37">
        <f>SUM('Soupis dodávek a prací'!AG12:AG2852)</f>
        <v>0</v>
      </c>
      <c r="D19" s="141" t="s">
        <v>54</v>
      </c>
      <c r="E19" s="142"/>
      <c r="F19" s="38" t="s">
        <v>54</v>
      </c>
      <c r="G19" s="141" t="s">
        <v>4244</v>
      </c>
      <c r="H19" s="142"/>
      <c r="I19" s="38">
        <f>VORN!I26</f>
        <v>0</v>
      </c>
    </row>
    <row r="20" spans="1:9" ht="15.75" x14ac:dyDescent="0.25">
      <c r="A20" s="135" t="s">
        <v>4245</v>
      </c>
      <c r="B20" s="136"/>
      <c r="C20" s="37">
        <f>SUM('Soupis dodávek a prací'!AH12:AH2852)</f>
        <v>0</v>
      </c>
      <c r="D20" s="141"/>
      <c r="E20" s="142"/>
      <c r="F20" s="38" t="s">
        <v>54</v>
      </c>
      <c r="G20" s="141" t="s">
        <v>54</v>
      </c>
      <c r="H20" s="142"/>
      <c r="I20" s="38" t="s">
        <v>54</v>
      </c>
    </row>
    <row r="21" spans="1:9" ht="15.75" x14ac:dyDescent="0.25">
      <c r="A21" s="137" t="s">
        <v>4246</v>
      </c>
      <c r="B21" s="138"/>
      <c r="C21" s="40">
        <f>SUM('Soupis dodávek a prací'!Z12:Z2852)</f>
        <v>0</v>
      </c>
      <c r="D21" s="143" t="s">
        <v>54</v>
      </c>
      <c r="E21" s="144"/>
      <c r="F21" s="41" t="s">
        <v>54</v>
      </c>
      <c r="G21" s="143" t="s">
        <v>54</v>
      </c>
      <c r="H21" s="144"/>
      <c r="I21" s="41" t="s">
        <v>54</v>
      </c>
    </row>
    <row r="22" spans="1:9" ht="16.5" customHeight="1" x14ac:dyDescent="0.25">
      <c r="A22" s="139" t="s">
        <v>4247</v>
      </c>
      <c r="B22" s="140"/>
      <c r="C22" s="42">
        <f>SUM(C14:C21)</f>
        <v>0</v>
      </c>
      <c r="D22" s="145" t="s">
        <v>4248</v>
      </c>
      <c r="E22" s="140"/>
      <c r="F22" s="42">
        <f>SUM(F14:F21)</f>
        <v>0</v>
      </c>
      <c r="G22" s="145" t="s">
        <v>4249</v>
      </c>
      <c r="H22" s="140"/>
      <c r="I22" s="43" t="s">
        <v>4250</v>
      </c>
    </row>
    <row r="23" spans="1:9" ht="15.75" x14ac:dyDescent="0.25">
      <c r="D23" s="135" t="s">
        <v>4251</v>
      </c>
      <c r="E23" s="136"/>
      <c r="F23" s="44">
        <v>0</v>
      </c>
      <c r="G23" s="146" t="s">
        <v>4252</v>
      </c>
      <c r="H23" s="136"/>
      <c r="I23" s="37">
        <v>0</v>
      </c>
    </row>
    <row r="24" spans="1:9" ht="15.75" x14ac:dyDescent="0.25">
      <c r="G24" s="135" t="s">
        <v>4253</v>
      </c>
      <c r="H24" s="136"/>
      <c r="I24" s="37">
        <f>vorn_sum</f>
        <v>0</v>
      </c>
    </row>
    <row r="25" spans="1:9" ht="15.75" x14ac:dyDescent="0.25">
      <c r="G25" s="135" t="s">
        <v>4254</v>
      </c>
      <c r="H25" s="136"/>
      <c r="I25" s="37">
        <v>0</v>
      </c>
    </row>
    <row r="27" spans="1:9" ht="15.75" x14ac:dyDescent="0.25">
      <c r="A27" s="147" t="s">
        <v>4255</v>
      </c>
      <c r="B27" s="148"/>
      <c r="C27" s="45">
        <f>SUM('Soupis dodávek a prací'!AJ12:AJ2852)</f>
        <v>0</v>
      </c>
    </row>
    <row r="28" spans="1:9" ht="15.75" x14ac:dyDescent="0.25">
      <c r="A28" s="149" t="s">
        <v>4256</v>
      </c>
      <c r="B28" s="150"/>
      <c r="C28" s="46">
        <f>SUM('Soupis dodávek a prací'!AK12:AK2852)</f>
        <v>0</v>
      </c>
      <c r="D28" s="151" t="s">
        <v>4257</v>
      </c>
      <c r="E28" s="148"/>
      <c r="F28" s="45">
        <f>ROUND(C28*(12/100),2)</f>
        <v>0</v>
      </c>
      <c r="G28" s="151" t="s">
        <v>4258</v>
      </c>
      <c r="H28" s="148"/>
      <c r="I28" s="45">
        <f>SUM(C27:C29)</f>
        <v>0</v>
      </c>
    </row>
    <row r="29" spans="1:9" ht="15.75" x14ac:dyDescent="0.25">
      <c r="A29" s="149" t="s">
        <v>4259</v>
      </c>
      <c r="B29" s="150"/>
      <c r="C29" s="46">
        <f>SUM('Soupis dodávek a prací'!AL12:AL2852)</f>
        <v>0</v>
      </c>
      <c r="D29" s="152" t="s">
        <v>4260</v>
      </c>
      <c r="E29" s="150"/>
      <c r="F29" s="46">
        <f>ROUND(C29*(21/100),2)</f>
        <v>0</v>
      </c>
      <c r="G29" s="152" t="s">
        <v>4261</v>
      </c>
      <c r="H29" s="150"/>
      <c r="I29" s="46">
        <f>SUM(F28:F29)+I28</f>
        <v>0</v>
      </c>
    </row>
    <row r="31" spans="1:9" x14ac:dyDescent="0.25">
      <c r="A31" s="164" t="s">
        <v>4262</v>
      </c>
      <c r="B31" s="156"/>
      <c r="C31" s="157"/>
      <c r="D31" s="155" t="s">
        <v>4263</v>
      </c>
      <c r="E31" s="156"/>
      <c r="F31" s="157"/>
      <c r="G31" s="155" t="s">
        <v>4264</v>
      </c>
      <c r="H31" s="156"/>
      <c r="I31" s="157"/>
    </row>
    <row r="32" spans="1:9" x14ac:dyDescent="0.25">
      <c r="A32" s="165" t="s">
        <v>54</v>
      </c>
      <c r="B32" s="159"/>
      <c r="C32" s="160"/>
      <c r="D32" s="158" t="s">
        <v>54</v>
      </c>
      <c r="E32" s="159"/>
      <c r="F32" s="160"/>
      <c r="G32" s="158" t="s">
        <v>54</v>
      </c>
      <c r="H32" s="159"/>
      <c r="I32" s="160"/>
    </row>
    <row r="33" spans="1:9" x14ac:dyDescent="0.25">
      <c r="A33" s="165" t="s">
        <v>54</v>
      </c>
      <c r="B33" s="159"/>
      <c r="C33" s="160"/>
      <c r="D33" s="158" t="s">
        <v>54</v>
      </c>
      <c r="E33" s="159"/>
      <c r="F33" s="160"/>
      <c r="G33" s="158" t="s">
        <v>54</v>
      </c>
      <c r="H33" s="159"/>
      <c r="I33" s="160"/>
    </row>
    <row r="34" spans="1:9" x14ac:dyDescent="0.25">
      <c r="A34" s="165" t="s">
        <v>54</v>
      </c>
      <c r="B34" s="159"/>
      <c r="C34" s="160"/>
      <c r="D34" s="158" t="s">
        <v>54</v>
      </c>
      <c r="E34" s="159"/>
      <c r="F34" s="160"/>
      <c r="G34" s="158" t="s">
        <v>54</v>
      </c>
      <c r="H34" s="159"/>
      <c r="I34" s="160"/>
    </row>
    <row r="35" spans="1:9" x14ac:dyDescent="0.25">
      <c r="A35" s="166" t="s">
        <v>4265</v>
      </c>
      <c r="B35" s="162"/>
      <c r="C35" s="163"/>
      <c r="D35" s="161" t="s">
        <v>4265</v>
      </c>
      <c r="E35" s="162"/>
      <c r="F35" s="163"/>
      <c r="G35" s="161" t="s">
        <v>4265</v>
      </c>
      <c r="H35" s="162"/>
      <c r="I35" s="163"/>
    </row>
    <row r="36" spans="1:9" x14ac:dyDescent="0.25">
      <c r="A36" s="47" t="s">
        <v>4217</v>
      </c>
    </row>
    <row r="37" spans="1:9" ht="409.6" customHeight="1" x14ac:dyDescent="0.25">
      <c r="A37" s="153" t="s">
        <v>4303</v>
      </c>
      <c r="B37" s="154"/>
      <c r="C37" s="154"/>
      <c r="D37" s="154"/>
      <c r="E37" s="154"/>
      <c r="F37" s="154"/>
      <c r="G37" s="154"/>
      <c r="H37" s="154"/>
      <c r="I37" s="154"/>
    </row>
  </sheetData>
  <sheetProtection algorithmName="SHA-512" hashValue="1RiuAj9Ycbux+kDqhdHZg7GR4toXwoXM14pseqxx2ZldDNz9X2oDAW9X2zifhAxN3cQJ3IfTAWDemdq8N1cagg==" saltValue="teHyFrQ3I3Xohmjt5WO5bw==" spinCount="100000" sheet="1" objects="1" scenarios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8"/>
  <sheetViews>
    <sheetView workbookViewId="0">
      <pane ySplit="11" topLeftCell="A12" activePane="bottomLeft" state="frozen"/>
      <selection pane="bottomLeft" activeCell="C4" sqref="C4:C5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6" width="27.85546875" customWidth="1"/>
    <col min="7" max="7" width="37.140625" customWidth="1"/>
    <col min="8" max="9" width="0" hidden="1" customWidth="1"/>
  </cols>
  <sheetData>
    <row r="1" spans="1:9" ht="54.75" customHeight="1" x14ac:dyDescent="0.25">
      <c r="A1" s="113" t="s">
        <v>4218</v>
      </c>
      <c r="B1" s="113"/>
      <c r="C1" s="113"/>
      <c r="D1" s="113"/>
      <c r="E1" s="113"/>
      <c r="F1" s="113"/>
      <c r="G1" s="113"/>
    </row>
    <row r="2" spans="1:9" x14ac:dyDescent="0.25">
      <c r="A2" s="114" t="s">
        <v>1</v>
      </c>
      <c r="B2" s="115"/>
      <c r="C2" s="125" t="str">
        <f>'Soupis dodávek a prací'!D2</f>
        <v>Nové stanovište ZZS SK Benešov</v>
      </c>
      <c r="D2" s="115" t="s">
        <v>3</v>
      </c>
      <c r="E2" s="171" t="s">
        <v>4</v>
      </c>
      <c r="F2" s="119" t="s">
        <v>5</v>
      </c>
      <c r="G2" s="169" t="str">
        <f>'Soupis dodávek a prací'!J2</f>
        <v>Zdravotnická záchraná služba Stredoceského kraje</v>
      </c>
    </row>
    <row r="3" spans="1:9" ht="15" customHeight="1" x14ac:dyDescent="0.25">
      <c r="A3" s="116"/>
      <c r="B3" s="117"/>
      <c r="C3" s="127"/>
      <c r="D3" s="117"/>
      <c r="E3" s="172"/>
      <c r="F3" s="117"/>
      <c r="G3" s="124"/>
    </row>
    <row r="4" spans="1:9" x14ac:dyDescent="0.25">
      <c r="A4" s="118" t="s">
        <v>7</v>
      </c>
      <c r="B4" s="117"/>
      <c r="C4" s="120" t="str">
        <f>'Soupis dodávek a prací'!D4</f>
        <v xml:space="preserve"> </v>
      </c>
      <c r="D4" s="117" t="s">
        <v>8</v>
      </c>
      <c r="E4" s="172" t="s">
        <v>4</v>
      </c>
      <c r="F4" s="120" t="s">
        <v>9</v>
      </c>
      <c r="G4" s="129" t="str">
        <f>'Soupis dodávek a prací'!J4</f>
        <v>Mag. Arch. Jaroslav Trávnícek</v>
      </c>
    </row>
    <row r="5" spans="1:9" ht="15" customHeight="1" x14ac:dyDescent="0.25">
      <c r="A5" s="116"/>
      <c r="B5" s="117"/>
      <c r="C5" s="117"/>
      <c r="D5" s="117"/>
      <c r="E5" s="172"/>
      <c r="F5" s="117"/>
      <c r="G5" s="124"/>
    </row>
    <row r="6" spans="1:9" x14ac:dyDescent="0.25">
      <c r="A6" s="118" t="s">
        <v>11</v>
      </c>
      <c r="B6" s="117"/>
      <c r="C6" s="120" t="str">
        <f>'Soupis dodávek a prací'!D6</f>
        <v>na parc. c. 1833/1, 1833/2, 1833/4, 1833/9, 1833/10, 1834/2, 1834/4, 1834/7, 1838 v k.ú. Benešov u P</v>
      </c>
      <c r="D6" s="117" t="s">
        <v>13</v>
      </c>
      <c r="E6" s="172" t="s">
        <v>4</v>
      </c>
      <c r="F6" s="120" t="s">
        <v>14</v>
      </c>
      <c r="G6" s="129" t="str">
        <f>'Soupis dodávek a prací'!J6</f>
        <v>dle výberového rízení</v>
      </c>
    </row>
    <row r="7" spans="1:9" ht="15" customHeight="1" x14ac:dyDescent="0.25">
      <c r="A7" s="116"/>
      <c r="B7" s="117"/>
      <c r="C7" s="117"/>
      <c r="D7" s="117"/>
      <c r="E7" s="172"/>
      <c r="F7" s="117"/>
      <c r="G7" s="124"/>
    </row>
    <row r="8" spans="1:9" x14ac:dyDescent="0.25">
      <c r="A8" s="118" t="s">
        <v>19</v>
      </c>
      <c r="B8" s="117"/>
      <c r="C8" s="120" t="str">
        <f>'Soupis dodávek a prací'!J8</f>
        <v> </v>
      </c>
      <c r="D8" s="117" t="s">
        <v>17</v>
      </c>
      <c r="E8" s="172" t="s">
        <v>18</v>
      </c>
      <c r="F8" s="117" t="s">
        <v>17</v>
      </c>
      <c r="G8" s="129">
        <f>'Soupis dodávek a prací'!H8</f>
        <v>45389</v>
      </c>
    </row>
    <row r="9" spans="1:9" x14ac:dyDescent="0.25">
      <c r="A9" s="167"/>
      <c r="B9" s="168"/>
      <c r="C9" s="168"/>
      <c r="D9" s="168"/>
      <c r="E9" s="173"/>
      <c r="F9" s="168"/>
      <c r="G9" s="170"/>
    </row>
    <row r="10" spans="1:9" ht="15.75" thickBot="1" x14ac:dyDescent="0.3">
      <c r="A10" s="27" t="s">
        <v>21</v>
      </c>
      <c r="B10" s="28" t="s">
        <v>22</v>
      </c>
      <c r="C10" s="29" t="s">
        <v>23</v>
      </c>
      <c r="D10" s="30" t="s">
        <v>4219</v>
      </c>
      <c r="E10" s="30" t="s">
        <v>4220</v>
      </c>
      <c r="F10" s="30" t="s">
        <v>4221</v>
      </c>
      <c r="G10" s="31" t="s">
        <v>4222</v>
      </c>
    </row>
    <row r="11" spans="1:9" s="58" customFormat="1" x14ac:dyDescent="0.25">
      <c r="A11" s="62" t="s">
        <v>55</v>
      </c>
      <c r="B11" s="62" t="s">
        <v>54</v>
      </c>
      <c r="C11" s="62" t="s">
        <v>2</v>
      </c>
      <c r="D11" s="63">
        <f>'Soupis dodávek a prací'!J12</f>
        <v>0</v>
      </c>
      <c r="E11" s="63">
        <f>'Soupis dodávek a prací'!K12</f>
        <v>0</v>
      </c>
      <c r="F11" s="63">
        <f>'Soupis dodávek a prací'!L12</f>
        <v>0</v>
      </c>
      <c r="G11" s="63">
        <f>'Soupis dodávek a prací'!O12</f>
        <v>18205.188244381097</v>
      </c>
      <c r="H11" s="56" t="s">
        <v>4223</v>
      </c>
      <c r="I11" s="57">
        <f t="shared" ref="I11:I42" si="0">IF(H11="F",0,F11)</f>
        <v>0</v>
      </c>
    </row>
    <row r="12" spans="1:9" s="61" customFormat="1" x14ac:dyDescent="0.25">
      <c r="A12" s="64" t="s">
        <v>55</v>
      </c>
      <c r="B12" s="64" t="s">
        <v>54</v>
      </c>
      <c r="C12" s="64" t="s">
        <v>56</v>
      </c>
      <c r="D12" s="65">
        <f>'Soupis dodávek a prací'!J13</f>
        <v>0</v>
      </c>
      <c r="E12" s="65">
        <f>'Soupis dodávek a prací'!K13</f>
        <v>0</v>
      </c>
      <c r="F12" s="65">
        <f>'Soupis dodávek a prací'!L13</f>
        <v>0</v>
      </c>
      <c r="G12" s="65">
        <f>'Soupis dodávek a prací'!O13</f>
        <v>3720.6824109089998</v>
      </c>
      <c r="H12" s="60" t="s">
        <v>4223</v>
      </c>
      <c r="I12" s="59">
        <f t="shared" si="0"/>
        <v>0</v>
      </c>
    </row>
    <row r="13" spans="1:9" x14ac:dyDescent="0.25">
      <c r="A13" s="66" t="s">
        <v>55</v>
      </c>
      <c r="B13" s="66" t="s">
        <v>57</v>
      </c>
      <c r="C13" s="66" t="s">
        <v>58</v>
      </c>
      <c r="D13" s="67">
        <f>'Soupis dodávek a prací'!J14</f>
        <v>0</v>
      </c>
      <c r="E13" s="67">
        <f>'Soupis dodávek a prací'!K14</f>
        <v>0</v>
      </c>
      <c r="F13" s="67">
        <f>'Soupis dodávek a prací'!L14</f>
        <v>0</v>
      </c>
      <c r="G13" s="67">
        <f>'Soupis dodávek a prací'!O14</f>
        <v>0</v>
      </c>
      <c r="H13" s="32" t="s">
        <v>4224</v>
      </c>
      <c r="I13" s="23">
        <f t="shared" si="0"/>
        <v>0</v>
      </c>
    </row>
    <row r="14" spans="1:9" x14ac:dyDescent="0.25">
      <c r="A14" s="66" t="s">
        <v>55</v>
      </c>
      <c r="B14" s="66" t="s">
        <v>134</v>
      </c>
      <c r="C14" s="66" t="s">
        <v>135</v>
      </c>
      <c r="D14" s="67">
        <f>'Soupis dodávek a prací'!J75</f>
        <v>0</v>
      </c>
      <c r="E14" s="67">
        <f>'Soupis dodávek a prací'!K75</f>
        <v>0</v>
      </c>
      <c r="F14" s="67">
        <f>'Soupis dodávek a prací'!L75</f>
        <v>0</v>
      </c>
      <c r="G14" s="67">
        <f>'Soupis dodávek a prací'!O75</f>
        <v>0</v>
      </c>
      <c r="H14" s="32" t="s">
        <v>4224</v>
      </c>
      <c r="I14" s="23">
        <f t="shared" si="0"/>
        <v>0</v>
      </c>
    </row>
    <row r="15" spans="1:9" x14ac:dyDescent="0.25">
      <c r="A15" s="66" t="s">
        <v>55</v>
      </c>
      <c r="B15" s="66" t="s">
        <v>160</v>
      </c>
      <c r="C15" s="66" t="s">
        <v>161</v>
      </c>
      <c r="D15" s="67">
        <f>'Soupis dodávek a prací'!J90</f>
        <v>0</v>
      </c>
      <c r="E15" s="67">
        <f>'Soupis dodávek a prací'!K90</f>
        <v>0</v>
      </c>
      <c r="F15" s="67">
        <f>'Soupis dodávek a prací'!L90</f>
        <v>0</v>
      </c>
      <c r="G15" s="67">
        <f>'Soupis dodávek a prací'!O90</f>
        <v>0</v>
      </c>
      <c r="H15" s="32" t="s">
        <v>4224</v>
      </c>
      <c r="I15" s="23">
        <f t="shared" si="0"/>
        <v>0</v>
      </c>
    </row>
    <row r="16" spans="1:9" x14ac:dyDescent="0.25">
      <c r="A16" s="66" t="s">
        <v>55</v>
      </c>
      <c r="B16" s="66" t="s">
        <v>187</v>
      </c>
      <c r="C16" s="66" t="s">
        <v>188</v>
      </c>
      <c r="D16" s="67">
        <f>'Soupis dodávek a prací'!J111</f>
        <v>0</v>
      </c>
      <c r="E16" s="67">
        <f>'Soupis dodávek a prací'!K111</f>
        <v>0</v>
      </c>
      <c r="F16" s="67">
        <f>'Soupis dodávek a prací'!L111</f>
        <v>0</v>
      </c>
      <c r="G16" s="67">
        <f>'Soupis dodávek a prací'!O111</f>
        <v>0.15334063270000001</v>
      </c>
      <c r="H16" s="32" t="s">
        <v>4224</v>
      </c>
      <c r="I16" s="23">
        <f t="shared" si="0"/>
        <v>0</v>
      </c>
    </row>
    <row r="17" spans="1:9" x14ac:dyDescent="0.25">
      <c r="A17" s="66" t="s">
        <v>55</v>
      </c>
      <c r="B17" s="66" t="s">
        <v>63</v>
      </c>
      <c r="C17" s="66" t="s">
        <v>204</v>
      </c>
      <c r="D17" s="67">
        <f>'Soupis dodávek a prací'!J120</f>
        <v>0</v>
      </c>
      <c r="E17" s="67">
        <f>'Soupis dodávek a prací'!K120</f>
        <v>0</v>
      </c>
      <c r="F17" s="67">
        <f>'Soupis dodávek a prací'!L120</f>
        <v>0</v>
      </c>
      <c r="G17" s="67">
        <f>'Soupis dodávek a prací'!O120</f>
        <v>126.33195585000001</v>
      </c>
      <c r="H17" s="32" t="s">
        <v>4224</v>
      </c>
      <c r="I17" s="23">
        <f t="shared" si="0"/>
        <v>0</v>
      </c>
    </row>
    <row r="18" spans="1:9" x14ac:dyDescent="0.25">
      <c r="A18" s="66" t="s">
        <v>55</v>
      </c>
      <c r="B18" s="66" t="s">
        <v>217</v>
      </c>
      <c r="C18" s="66" t="s">
        <v>218</v>
      </c>
      <c r="D18" s="67">
        <f>'Soupis dodávek a prací'!J127</f>
        <v>0</v>
      </c>
      <c r="E18" s="67">
        <f>'Soupis dodávek a prací'!K127</f>
        <v>0</v>
      </c>
      <c r="F18" s="67">
        <f>'Soupis dodávek a prací'!L127</f>
        <v>0</v>
      </c>
      <c r="G18" s="67">
        <f>'Soupis dodávek a prací'!O127</f>
        <v>683.22600294319989</v>
      </c>
      <c r="H18" s="32" t="s">
        <v>4224</v>
      </c>
      <c r="I18" s="23">
        <f t="shared" si="0"/>
        <v>0</v>
      </c>
    </row>
    <row r="19" spans="1:9" x14ac:dyDescent="0.25">
      <c r="A19" s="66" t="s">
        <v>55</v>
      </c>
      <c r="B19" s="66" t="s">
        <v>277</v>
      </c>
      <c r="C19" s="66" t="s">
        <v>278</v>
      </c>
      <c r="D19" s="67">
        <f>'Soupis dodávek a prací'!J209</f>
        <v>0</v>
      </c>
      <c r="E19" s="67">
        <f>'Soupis dodávek a prací'!K209</f>
        <v>0</v>
      </c>
      <c r="F19" s="67">
        <f>'Soupis dodávek a prací'!L209</f>
        <v>0</v>
      </c>
      <c r="G19" s="67">
        <f>'Soupis dodávek a prací'!O209</f>
        <v>829.5827197978</v>
      </c>
      <c r="H19" s="32" t="s">
        <v>4224</v>
      </c>
      <c r="I19" s="23">
        <f t="shared" si="0"/>
        <v>0</v>
      </c>
    </row>
    <row r="20" spans="1:9" x14ac:dyDescent="0.25">
      <c r="A20" s="66" t="s">
        <v>55</v>
      </c>
      <c r="B20" s="66" t="s">
        <v>310</v>
      </c>
      <c r="C20" s="66" t="s">
        <v>459</v>
      </c>
      <c r="D20" s="67">
        <f>'Soupis dodávek a prací'!J361</f>
        <v>0</v>
      </c>
      <c r="E20" s="67">
        <f>'Soupis dodávek a prací'!K361</f>
        <v>0</v>
      </c>
      <c r="F20" s="67">
        <f>'Soupis dodávek a prací'!L361</f>
        <v>0</v>
      </c>
      <c r="G20" s="67">
        <f>'Soupis dodávek a prací'!O361</f>
        <v>87.864909691999998</v>
      </c>
      <c r="H20" s="32" t="s">
        <v>4224</v>
      </c>
      <c r="I20" s="23">
        <f t="shared" si="0"/>
        <v>0</v>
      </c>
    </row>
    <row r="21" spans="1:9" x14ac:dyDescent="0.25">
      <c r="A21" s="66" t="s">
        <v>55</v>
      </c>
      <c r="B21" s="66" t="s">
        <v>317</v>
      </c>
      <c r="C21" s="66" t="s">
        <v>524</v>
      </c>
      <c r="D21" s="67">
        <f>'Soupis dodávek a prací'!J405</f>
        <v>0</v>
      </c>
      <c r="E21" s="67">
        <f>'Soupis dodávek a prací'!K405</f>
        <v>0</v>
      </c>
      <c r="F21" s="67">
        <f>'Soupis dodávek a prací'!L405</f>
        <v>0</v>
      </c>
      <c r="G21" s="67">
        <f>'Soupis dodávek a prací'!O405</f>
        <v>142.87554899149998</v>
      </c>
      <c r="H21" s="32" t="s">
        <v>4224</v>
      </c>
      <c r="I21" s="23">
        <f t="shared" si="0"/>
        <v>0</v>
      </c>
    </row>
    <row r="22" spans="1:9" x14ac:dyDescent="0.25">
      <c r="A22" s="66" t="s">
        <v>55</v>
      </c>
      <c r="B22" s="66" t="s">
        <v>364</v>
      </c>
      <c r="C22" s="66" t="s">
        <v>600</v>
      </c>
      <c r="D22" s="67">
        <f>'Soupis dodávek a prací'!J468</f>
        <v>0</v>
      </c>
      <c r="E22" s="67">
        <f>'Soupis dodávek a prací'!K468</f>
        <v>0</v>
      </c>
      <c r="F22" s="67">
        <f>'Soupis dodávek a prací'!L468</f>
        <v>0</v>
      </c>
      <c r="G22" s="67">
        <f>'Soupis dodávek a prací'!O468</f>
        <v>636.19460263320002</v>
      </c>
      <c r="H22" s="32" t="s">
        <v>4224</v>
      </c>
      <c r="I22" s="23">
        <f t="shared" si="0"/>
        <v>0</v>
      </c>
    </row>
    <row r="23" spans="1:9" x14ac:dyDescent="0.25">
      <c r="A23" s="66" t="s">
        <v>55</v>
      </c>
      <c r="B23" s="66" t="s">
        <v>372</v>
      </c>
      <c r="C23" s="66" t="s">
        <v>816</v>
      </c>
      <c r="D23" s="67">
        <f>'Soupis dodávek a prací'!J657</f>
        <v>0</v>
      </c>
      <c r="E23" s="67">
        <f>'Soupis dodávek a prací'!K657</f>
        <v>0</v>
      </c>
      <c r="F23" s="67">
        <f>'Soupis dodávek a prací'!L657</f>
        <v>0</v>
      </c>
      <c r="G23" s="67">
        <f>'Soupis dodávek a prací'!O657</f>
        <v>12.780707027500002</v>
      </c>
      <c r="H23" s="32" t="s">
        <v>4224</v>
      </c>
      <c r="I23" s="23">
        <f t="shared" si="0"/>
        <v>0</v>
      </c>
    </row>
    <row r="24" spans="1:9" x14ac:dyDescent="0.25">
      <c r="A24" s="66" t="s">
        <v>55</v>
      </c>
      <c r="B24" s="66" t="s">
        <v>375</v>
      </c>
      <c r="C24" s="66" t="s">
        <v>825</v>
      </c>
      <c r="D24" s="67">
        <f>'Soupis dodávek a prací'!J664</f>
        <v>0</v>
      </c>
      <c r="E24" s="67">
        <f>'Soupis dodávek a prací'!K664</f>
        <v>0</v>
      </c>
      <c r="F24" s="67">
        <f>'Soupis dodávek a prací'!L664</f>
        <v>0</v>
      </c>
      <c r="G24" s="67">
        <f>'Soupis dodávek a prací'!O664</f>
        <v>45.088584654000002</v>
      </c>
      <c r="H24" s="32" t="s">
        <v>4224</v>
      </c>
      <c r="I24" s="23">
        <f t="shared" si="0"/>
        <v>0</v>
      </c>
    </row>
    <row r="25" spans="1:9" x14ac:dyDescent="0.25">
      <c r="A25" s="66" t="s">
        <v>55</v>
      </c>
      <c r="B25" s="66" t="s">
        <v>466</v>
      </c>
      <c r="C25" s="66" t="s">
        <v>844</v>
      </c>
      <c r="D25" s="67">
        <f>'Soupis dodávek a prací'!J677</f>
        <v>0</v>
      </c>
      <c r="E25" s="67">
        <f>'Soupis dodávek a prací'!K677</f>
        <v>0</v>
      </c>
      <c r="F25" s="67">
        <f>'Soupis dodávek a prací'!L677</f>
        <v>0</v>
      </c>
      <c r="G25" s="67">
        <f>'Soupis dodávek a prací'!O677</f>
        <v>66.628886999999992</v>
      </c>
      <c r="H25" s="32" t="s">
        <v>4224</v>
      </c>
      <c r="I25" s="23">
        <f t="shared" si="0"/>
        <v>0</v>
      </c>
    </row>
    <row r="26" spans="1:9" x14ac:dyDescent="0.25">
      <c r="A26" s="66" t="s">
        <v>55</v>
      </c>
      <c r="B26" s="66" t="s">
        <v>525</v>
      </c>
      <c r="C26" s="66" t="s">
        <v>855</v>
      </c>
      <c r="D26" s="67">
        <f>'Soupis dodávek a prací'!J684</f>
        <v>0</v>
      </c>
      <c r="E26" s="67">
        <f>'Soupis dodávek a prací'!K684</f>
        <v>0</v>
      </c>
      <c r="F26" s="67">
        <f>'Soupis dodávek a prací'!L684</f>
        <v>0</v>
      </c>
      <c r="G26" s="67">
        <f>'Soupis dodávek a prací'!O684</f>
        <v>20.041604580000001</v>
      </c>
      <c r="H26" s="32" t="s">
        <v>4224</v>
      </c>
      <c r="I26" s="23">
        <f t="shared" si="0"/>
        <v>0</v>
      </c>
    </row>
    <row r="27" spans="1:9" x14ac:dyDescent="0.25">
      <c r="A27" s="66" t="s">
        <v>55</v>
      </c>
      <c r="B27" s="66" t="s">
        <v>533</v>
      </c>
      <c r="C27" s="66" t="s">
        <v>866</v>
      </c>
      <c r="D27" s="67">
        <f>'Soupis dodávek a prací'!J690</f>
        <v>0</v>
      </c>
      <c r="E27" s="67">
        <f>'Soupis dodávek a prací'!K690</f>
        <v>0</v>
      </c>
      <c r="F27" s="67">
        <f>'Soupis dodávek a prací'!L690</f>
        <v>0</v>
      </c>
      <c r="G27" s="67">
        <f>'Soupis dodávek a prací'!O690</f>
        <v>78.217931426800007</v>
      </c>
      <c r="H27" s="32" t="s">
        <v>4224</v>
      </c>
      <c r="I27" s="23">
        <f t="shared" si="0"/>
        <v>0</v>
      </c>
    </row>
    <row r="28" spans="1:9" x14ac:dyDescent="0.25">
      <c r="A28" s="66" t="s">
        <v>55</v>
      </c>
      <c r="B28" s="66" t="s">
        <v>549</v>
      </c>
      <c r="C28" s="66" t="s">
        <v>967</v>
      </c>
      <c r="D28" s="67">
        <f>'Soupis dodávek a prací'!J861</f>
        <v>0</v>
      </c>
      <c r="E28" s="67">
        <f>'Soupis dodávek a prací'!K861</f>
        <v>0</v>
      </c>
      <c r="F28" s="67">
        <f>'Soupis dodávek a prací'!L861</f>
        <v>0</v>
      </c>
      <c r="G28" s="67">
        <f>'Soupis dodávek a prací'!O861</f>
        <v>18.651409426799997</v>
      </c>
      <c r="H28" s="32" t="s">
        <v>4224</v>
      </c>
      <c r="I28" s="23">
        <f t="shared" si="0"/>
        <v>0</v>
      </c>
    </row>
    <row r="29" spans="1:9" x14ac:dyDescent="0.25">
      <c r="A29" s="66" t="s">
        <v>55</v>
      </c>
      <c r="B29" s="66" t="s">
        <v>560</v>
      </c>
      <c r="C29" s="66" t="s">
        <v>1097</v>
      </c>
      <c r="D29" s="67">
        <f>'Soupis dodávek a prací'!J998</f>
        <v>0</v>
      </c>
      <c r="E29" s="67">
        <f>'Soupis dodávek a prací'!K998</f>
        <v>0</v>
      </c>
      <c r="F29" s="67">
        <f>'Soupis dodávek a prací'!L998</f>
        <v>0</v>
      </c>
      <c r="G29" s="67">
        <f>'Soupis dodávek a prací'!O998</f>
        <v>942.30884762850008</v>
      </c>
      <c r="H29" s="32" t="s">
        <v>4224</v>
      </c>
      <c r="I29" s="23">
        <f t="shared" si="0"/>
        <v>0</v>
      </c>
    </row>
    <row r="30" spans="1:9" x14ac:dyDescent="0.25">
      <c r="A30" s="66" t="s">
        <v>55</v>
      </c>
      <c r="B30" s="66" t="s">
        <v>564</v>
      </c>
      <c r="C30" s="66" t="s">
        <v>1218</v>
      </c>
      <c r="D30" s="67">
        <f>'Soupis dodávek a prací'!J1105</f>
        <v>0</v>
      </c>
      <c r="E30" s="67">
        <f>'Soupis dodávek a prací'!K1105</f>
        <v>0</v>
      </c>
      <c r="F30" s="67">
        <f>'Soupis dodávek a prací'!L1105</f>
        <v>0</v>
      </c>
      <c r="G30" s="67">
        <f>'Soupis dodávek a prací'!O1105</f>
        <v>1.0279520999999998</v>
      </c>
      <c r="H30" s="32" t="s">
        <v>4224</v>
      </c>
      <c r="I30" s="23">
        <f t="shared" si="0"/>
        <v>0</v>
      </c>
    </row>
    <row r="31" spans="1:9" x14ac:dyDescent="0.25">
      <c r="A31" s="66" t="s">
        <v>55</v>
      </c>
      <c r="B31" s="66" t="s">
        <v>806</v>
      </c>
      <c r="C31" s="66" t="s">
        <v>1268</v>
      </c>
      <c r="D31" s="67">
        <f>'Soupis dodávek a prací'!J1133</f>
        <v>0</v>
      </c>
      <c r="E31" s="67">
        <f>'Soupis dodávek a prací'!K1133</f>
        <v>0</v>
      </c>
      <c r="F31" s="67">
        <f>'Soupis dodávek a prací'!L1133</f>
        <v>0</v>
      </c>
      <c r="G31" s="67">
        <f>'Soupis dodávek a prací'!O1133</f>
        <v>29.642601745</v>
      </c>
      <c r="H31" s="32" t="s">
        <v>4224</v>
      </c>
      <c r="I31" s="23">
        <f t="shared" si="0"/>
        <v>0</v>
      </c>
    </row>
    <row r="32" spans="1:9" x14ac:dyDescent="0.25">
      <c r="A32" s="66" t="s">
        <v>55</v>
      </c>
      <c r="B32" s="66" t="s">
        <v>811</v>
      </c>
      <c r="C32" s="66" t="s">
        <v>1316</v>
      </c>
      <c r="D32" s="67">
        <f>'Soupis dodávek a prací'!J1161</f>
        <v>0</v>
      </c>
      <c r="E32" s="67">
        <f>'Soupis dodávek a prací'!K1161</f>
        <v>0</v>
      </c>
      <c r="F32" s="67">
        <f>'Soupis dodávek a prací'!L1161</f>
        <v>0</v>
      </c>
      <c r="G32" s="67">
        <f>'Soupis dodávek a prací'!O1161</f>
        <v>6.4804779999999992E-2</v>
      </c>
      <c r="H32" s="32" t="s">
        <v>4224</v>
      </c>
      <c r="I32" s="23">
        <f t="shared" si="0"/>
        <v>0</v>
      </c>
    </row>
    <row r="33" spans="1:9" x14ac:dyDescent="0.25">
      <c r="A33" s="66" t="s">
        <v>55</v>
      </c>
      <c r="B33" s="66" t="s">
        <v>845</v>
      </c>
      <c r="C33" s="66" t="s">
        <v>1334</v>
      </c>
      <c r="D33" s="67">
        <f>'Soupis dodávek a prací'!J1170</f>
        <v>0</v>
      </c>
      <c r="E33" s="67">
        <f>'Soupis dodávek a prací'!K1170</f>
        <v>0</v>
      </c>
      <c r="F33" s="67">
        <f>'Soupis dodávek a prací'!L1170</f>
        <v>0</v>
      </c>
      <c r="G33" s="67">
        <f>'Soupis dodávek a prací'!O1170</f>
        <v>0</v>
      </c>
      <c r="H33" s="32" t="s">
        <v>4224</v>
      </c>
      <c r="I33" s="23">
        <f t="shared" si="0"/>
        <v>0</v>
      </c>
    </row>
    <row r="34" spans="1:9" x14ac:dyDescent="0.25">
      <c r="A34" s="66" t="s">
        <v>55</v>
      </c>
      <c r="B34" s="66" t="s">
        <v>852</v>
      </c>
      <c r="C34" s="66" t="s">
        <v>1348</v>
      </c>
      <c r="D34" s="67">
        <f>'Soupis dodávek a prací'!J1175</f>
        <v>0</v>
      </c>
      <c r="E34" s="67">
        <f>'Soupis dodávek a prací'!K1175</f>
        <v>0</v>
      </c>
      <c r="F34" s="67">
        <f>'Soupis dodávek a prací'!L1175</f>
        <v>0</v>
      </c>
      <c r="G34" s="67">
        <f>'Soupis dodávek a prací'!O1175</f>
        <v>0</v>
      </c>
      <c r="H34" s="32" t="s">
        <v>4224</v>
      </c>
      <c r="I34" s="23">
        <f t="shared" si="0"/>
        <v>0</v>
      </c>
    </row>
    <row r="35" spans="1:9" s="61" customFormat="1" x14ac:dyDescent="0.25">
      <c r="A35" s="64" t="s">
        <v>55</v>
      </c>
      <c r="B35" s="64" t="s">
        <v>54</v>
      </c>
      <c r="C35" s="64" t="s">
        <v>1353</v>
      </c>
      <c r="D35" s="65">
        <f>'Soupis dodávek a prací'!J1177</f>
        <v>0</v>
      </c>
      <c r="E35" s="65">
        <f>'Soupis dodávek a prací'!K1177</f>
        <v>0</v>
      </c>
      <c r="F35" s="65">
        <f>'Soupis dodávek a prací'!L1177</f>
        <v>0</v>
      </c>
      <c r="G35" s="65">
        <f>'Soupis dodávek a prací'!O1177</f>
        <v>14484.505833472102</v>
      </c>
      <c r="H35" s="60" t="s">
        <v>4223</v>
      </c>
      <c r="I35" s="59">
        <f t="shared" si="0"/>
        <v>0</v>
      </c>
    </row>
    <row r="36" spans="1:9" x14ac:dyDescent="0.25">
      <c r="A36" s="66" t="s">
        <v>55</v>
      </c>
      <c r="B36" s="66" t="s">
        <v>1354</v>
      </c>
      <c r="C36" s="66" t="s">
        <v>1355</v>
      </c>
      <c r="D36" s="67">
        <f>'Soupis dodávek a prací'!J1178</f>
        <v>0</v>
      </c>
      <c r="E36" s="67">
        <f>'Soupis dodávek a prací'!K1178</f>
        <v>0</v>
      </c>
      <c r="F36" s="67">
        <f>'Soupis dodávek a prací'!L1178</f>
        <v>0</v>
      </c>
      <c r="G36" s="67">
        <f>'Soupis dodávek a prací'!O1178</f>
        <v>23.264356550799999</v>
      </c>
      <c r="H36" s="32" t="s">
        <v>4224</v>
      </c>
      <c r="I36" s="23">
        <f t="shared" si="0"/>
        <v>0</v>
      </c>
    </row>
    <row r="37" spans="1:9" x14ac:dyDescent="0.25">
      <c r="A37" s="66" t="s">
        <v>55</v>
      </c>
      <c r="B37" s="66" t="s">
        <v>1448</v>
      </c>
      <c r="C37" s="66" t="s">
        <v>1449</v>
      </c>
      <c r="D37" s="67">
        <f>'Soupis dodávek a prací'!J1269</f>
        <v>0</v>
      </c>
      <c r="E37" s="67">
        <f>'Soupis dodávek a prací'!K1269</f>
        <v>0</v>
      </c>
      <c r="F37" s="67">
        <f>'Soupis dodávek a prací'!L1269</f>
        <v>0</v>
      </c>
      <c r="G37" s="67">
        <f>'Soupis dodávek a prací'!O1269</f>
        <v>22.119479360499998</v>
      </c>
      <c r="H37" s="32" t="s">
        <v>4224</v>
      </c>
      <c r="I37" s="23">
        <f t="shared" si="0"/>
        <v>0</v>
      </c>
    </row>
    <row r="38" spans="1:9" x14ac:dyDescent="0.25">
      <c r="A38" s="66" t="s">
        <v>55</v>
      </c>
      <c r="B38" s="66" t="s">
        <v>1520</v>
      </c>
      <c r="C38" s="66" t="s">
        <v>1521</v>
      </c>
      <c r="D38" s="67">
        <f>'Soupis dodávek a prací'!J1387</f>
        <v>0</v>
      </c>
      <c r="E38" s="67">
        <f>'Soupis dodávek a prací'!K1387</f>
        <v>0</v>
      </c>
      <c r="F38" s="67">
        <f>'Soupis dodávek a prací'!L1387</f>
        <v>0</v>
      </c>
      <c r="G38" s="67">
        <f>'Soupis dodávek a prací'!O1387</f>
        <v>25.581259621300006</v>
      </c>
      <c r="H38" s="32" t="s">
        <v>4224</v>
      </c>
      <c r="I38" s="23">
        <f t="shared" si="0"/>
        <v>0</v>
      </c>
    </row>
    <row r="39" spans="1:9" x14ac:dyDescent="0.25">
      <c r="A39" s="66" t="s">
        <v>55</v>
      </c>
      <c r="B39" s="66" t="s">
        <v>1642</v>
      </c>
      <c r="C39" s="66" t="s">
        <v>1643</v>
      </c>
      <c r="D39" s="67">
        <f>'Soupis dodávek a prací'!J1553</f>
        <v>0</v>
      </c>
      <c r="E39" s="67">
        <f>'Soupis dodávek a prací'!K1553</f>
        <v>0</v>
      </c>
      <c r="F39" s="67">
        <f>'Soupis dodávek a prací'!L1553</f>
        <v>0</v>
      </c>
      <c r="G39" s="67">
        <f>'Soupis dodávek a prací'!O1553</f>
        <v>0</v>
      </c>
      <c r="H39" s="32" t="s">
        <v>4224</v>
      </c>
      <c r="I39" s="23">
        <f t="shared" si="0"/>
        <v>0</v>
      </c>
    </row>
    <row r="40" spans="1:9" x14ac:dyDescent="0.25">
      <c r="A40" s="66" t="s">
        <v>55</v>
      </c>
      <c r="B40" s="66" t="s">
        <v>1711</v>
      </c>
      <c r="C40" s="66" t="s">
        <v>1712</v>
      </c>
      <c r="D40" s="67">
        <f>'Soupis dodávek a prací'!J1575</f>
        <v>0</v>
      </c>
      <c r="E40" s="67">
        <f>'Soupis dodávek a prací'!K1575</f>
        <v>0</v>
      </c>
      <c r="F40" s="67">
        <f>'Soupis dodávek a prací'!L1575</f>
        <v>0</v>
      </c>
      <c r="G40" s="67">
        <f>'Soupis dodávek a prací'!O1575</f>
        <v>0</v>
      </c>
      <c r="H40" s="32" t="s">
        <v>4224</v>
      </c>
      <c r="I40" s="23">
        <f t="shared" si="0"/>
        <v>0</v>
      </c>
    </row>
    <row r="41" spans="1:9" x14ac:dyDescent="0.25">
      <c r="A41" s="66" t="s">
        <v>55</v>
      </c>
      <c r="B41" s="66" t="s">
        <v>1755</v>
      </c>
      <c r="C41" s="66" t="s">
        <v>1756</v>
      </c>
      <c r="D41" s="67">
        <f>'Soupis dodávek a prací'!J1592</f>
        <v>0</v>
      </c>
      <c r="E41" s="67">
        <f>'Soupis dodávek a prací'!K1592</f>
        <v>0</v>
      </c>
      <c r="F41" s="67">
        <f>'Soupis dodávek a prací'!L1592</f>
        <v>0</v>
      </c>
      <c r="G41" s="67">
        <f>'Soupis dodávek a prací'!O1592</f>
        <v>0</v>
      </c>
      <c r="H41" s="32" t="s">
        <v>4224</v>
      </c>
      <c r="I41" s="23">
        <f t="shared" si="0"/>
        <v>0</v>
      </c>
    </row>
    <row r="42" spans="1:9" x14ac:dyDescent="0.25">
      <c r="A42" s="66" t="s">
        <v>55</v>
      </c>
      <c r="B42" s="66" t="s">
        <v>1787</v>
      </c>
      <c r="C42" s="66" t="s">
        <v>1788</v>
      </c>
      <c r="D42" s="67">
        <f>'Soupis dodávek a prací'!J1604</f>
        <v>0</v>
      </c>
      <c r="E42" s="67">
        <f>'Soupis dodávek a prací'!K1604</f>
        <v>0</v>
      </c>
      <c r="F42" s="67">
        <f>'Soupis dodávek a prací'!L1604</f>
        <v>0</v>
      </c>
      <c r="G42" s="67">
        <f>'Soupis dodávek a prací'!O1604</f>
        <v>0</v>
      </c>
      <c r="H42" s="32" t="s">
        <v>4224</v>
      </c>
      <c r="I42" s="23">
        <f t="shared" si="0"/>
        <v>0</v>
      </c>
    </row>
    <row r="43" spans="1:9" x14ac:dyDescent="0.25">
      <c r="A43" s="66" t="s">
        <v>55</v>
      </c>
      <c r="B43" s="66" t="s">
        <v>1810</v>
      </c>
      <c r="C43" s="66" t="s">
        <v>1811</v>
      </c>
      <c r="D43" s="67">
        <f>'Soupis dodávek a prací'!J1612</f>
        <v>0</v>
      </c>
      <c r="E43" s="67">
        <f>'Soupis dodávek a prací'!K1612</f>
        <v>0</v>
      </c>
      <c r="F43" s="67">
        <f>'Soupis dodávek a prací'!L1612</f>
        <v>0</v>
      </c>
      <c r="G43" s="67">
        <f>'Soupis dodávek a prací'!O1612</f>
        <v>0</v>
      </c>
      <c r="H43" s="32" t="s">
        <v>4224</v>
      </c>
      <c r="I43" s="23">
        <f t="shared" ref="I43:I74" si="1">IF(H43="F",0,F43)</f>
        <v>0</v>
      </c>
    </row>
    <row r="44" spans="1:9" x14ac:dyDescent="0.25">
      <c r="A44" s="66" t="s">
        <v>55</v>
      </c>
      <c r="B44" s="66" t="s">
        <v>1834</v>
      </c>
      <c r="C44" s="66" t="s">
        <v>1835</v>
      </c>
      <c r="D44" s="67">
        <f>'Soupis dodávek a prací'!J1621</f>
        <v>0</v>
      </c>
      <c r="E44" s="67">
        <f>'Soupis dodávek a prací'!K1621</f>
        <v>0</v>
      </c>
      <c r="F44" s="67">
        <f>'Soupis dodávek a prací'!L1621</f>
        <v>0</v>
      </c>
      <c r="G44" s="67">
        <f>'Soupis dodávek a prací'!O1621</f>
        <v>0</v>
      </c>
      <c r="H44" s="32" t="s">
        <v>4224</v>
      </c>
      <c r="I44" s="23">
        <f t="shared" si="1"/>
        <v>0</v>
      </c>
    </row>
    <row r="45" spans="1:9" x14ac:dyDescent="0.25">
      <c r="A45" s="66" t="s">
        <v>55</v>
      </c>
      <c r="B45" s="66" t="s">
        <v>1869</v>
      </c>
      <c r="C45" s="66" t="s">
        <v>1870</v>
      </c>
      <c r="D45" s="67">
        <f>'Soupis dodávek a prací'!J1635</f>
        <v>0</v>
      </c>
      <c r="E45" s="67">
        <f>'Soupis dodávek a prací'!K1635</f>
        <v>0</v>
      </c>
      <c r="F45" s="67">
        <f>'Soupis dodávek a prací'!L1635</f>
        <v>0</v>
      </c>
      <c r="G45" s="67">
        <f>'Soupis dodávek a prací'!O1635</f>
        <v>0</v>
      </c>
      <c r="H45" s="32" t="s">
        <v>4224</v>
      </c>
      <c r="I45" s="23">
        <f t="shared" si="1"/>
        <v>0</v>
      </c>
    </row>
    <row r="46" spans="1:9" x14ac:dyDescent="0.25">
      <c r="A46" s="66" t="s">
        <v>55</v>
      </c>
      <c r="B46" s="66" t="s">
        <v>1888</v>
      </c>
      <c r="C46" s="66" t="s">
        <v>1889</v>
      </c>
      <c r="D46" s="67">
        <f>'Soupis dodávek a prací'!J1642</f>
        <v>0</v>
      </c>
      <c r="E46" s="67">
        <f>'Soupis dodávek a prací'!K1642</f>
        <v>0</v>
      </c>
      <c r="F46" s="67">
        <f>'Soupis dodávek a prací'!L1642</f>
        <v>0</v>
      </c>
      <c r="G46" s="67">
        <f>'Soupis dodávek a prací'!O1642</f>
        <v>0</v>
      </c>
      <c r="H46" s="32" t="s">
        <v>4224</v>
      </c>
      <c r="I46" s="23">
        <f t="shared" si="1"/>
        <v>0</v>
      </c>
    </row>
    <row r="47" spans="1:9" x14ac:dyDescent="0.25">
      <c r="A47" s="66" t="s">
        <v>55</v>
      </c>
      <c r="B47" s="66" t="s">
        <v>1909</v>
      </c>
      <c r="C47" s="66" t="s">
        <v>1910</v>
      </c>
      <c r="D47" s="67">
        <f>'Soupis dodávek a prací'!J1650</f>
        <v>0</v>
      </c>
      <c r="E47" s="67">
        <f>'Soupis dodávek a prací'!K1650</f>
        <v>0</v>
      </c>
      <c r="F47" s="67">
        <f>'Soupis dodávek a prací'!L1650</f>
        <v>0</v>
      </c>
      <c r="G47" s="67">
        <f>'Soupis dodávek a prací'!O1650</f>
        <v>0.10897999999999999</v>
      </c>
      <c r="H47" s="32" t="s">
        <v>4224</v>
      </c>
      <c r="I47" s="23">
        <f t="shared" si="1"/>
        <v>0</v>
      </c>
    </row>
    <row r="48" spans="1:9" x14ac:dyDescent="0.25">
      <c r="A48" s="66" t="s">
        <v>55</v>
      </c>
      <c r="B48" s="66" t="s">
        <v>1981</v>
      </c>
      <c r="C48" s="66" t="s">
        <v>1982</v>
      </c>
      <c r="D48" s="67">
        <f>'Soupis dodávek a prací'!J1674</f>
        <v>0</v>
      </c>
      <c r="E48" s="67">
        <f>'Soupis dodávek a prací'!K1674</f>
        <v>0</v>
      </c>
      <c r="F48" s="67">
        <f>'Soupis dodávek a prací'!L1674</f>
        <v>0</v>
      </c>
      <c r="G48" s="67">
        <f>'Soupis dodávek a prací'!O1674</f>
        <v>1.3903000000000001</v>
      </c>
      <c r="H48" s="32" t="s">
        <v>4224</v>
      </c>
      <c r="I48" s="23">
        <f t="shared" si="1"/>
        <v>0</v>
      </c>
    </row>
    <row r="49" spans="1:9" x14ac:dyDescent="0.25">
      <c r="A49" s="66" t="s">
        <v>55</v>
      </c>
      <c r="B49" s="66" t="s">
        <v>2044</v>
      </c>
      <c r="C49" s="66" t="s">
        <v>2045</v>
      </c>
      <c r="D49" s="67">
        <f>'Soupis dodávek a prací'!J1701</f>
        <v>0</v>
      </c>
      <c r="E49" s="67">
        <f>'Soupis dodávek a prací'!K1701</f>
        <v>0</v>
      </c>
      <c r="F49" s="67">
        <f>'Soupis dodávek a prací'!L1701</f>
        <v>0</v>
      </c>
      <c r="G49" s="67">
        <f>'Soupis dodávek a prací'!O1701</f>
        <v>0.10227</v>
      </c>
      <c r="H49" s="32" t="s">
        <v>4224</v>
      </c>
      <c r="I49" s="23">
        <f t="shared" si="1"/>
        <v>0</v>
      </c>
    </row>
    <row r="50" spans="1:9" x14ac:dyDescent="0.25">
      <c r="A50" s="66" t="s">
        <v>55</v>
      </c>
      <c r="B50" s="66" t="s">
        <v>2131</v>
      </c>
      <c r="C50" s="66" t="s">
        <v>2132</v>
      </c>
      <c r="D50" s="67">
        <f>'Soupis dodávek a prací'!J1730</f>
        <v>0</v>
      </c>
      <c r="E50" s="67">
        <f>'Soupis dodávek a prací'!K1730</f>
        <v>0</v>
      </c>
      <c r="F50" s="67">
        <f>'Soupis dodávek a prací'!L1730</f>
        <v>0</v>
      </c>
      <c r="G50" s="67">
        <f>'Soupis dodávek a prací'!O1730</f>
        <v>6.88E-2</v>
      </c>
      <c r="H50" s="32" t="s">
        <v>4224</v>
      </c>
      <c r="I50" s="23">
        <f t="shared" si="1"/>
        <v>0</v>
      </c>
    </row>
    <row r="51" spans="1:9" x14ac:dyDescent="0.25">
      <c r="A51" s="66" t="s">
        <v>55</v>
      </c>
      <c r="B51" s="66" t="s">
        <v>2241</v>
      </c>
      <c r="C51" s="66" t="s">
        <v>2242</v>
      </c>
      <c r="D51" s="67">
        <f>'Soupis dodávek a prací'!J1772</f>
        <v>0</v>
      </c>
      <c r="E51" s="67">
        <f>'Soupis dodávek a prací'!K1772</f>
        <v>0</v>
      </c>
      <c r="F51" s="67">
        <f>'Soupis dodávek a prací'!L1772</f>
        <v>0</v>
      </c>
      <c r="G51" s="67">
        <f>'Soupis dodávek a prací'!O1772</f>
        <v>1.97575794</v>
      </c>
      <c r="H51" s="32" t="s">
        <v>4224</v>
      </c>
      <c r="I51" s="23">
        <f t="shared" si="1"/>
        <v>0</v>
      </c>
    </row>
    <row r="52" spans="1:9" x14ac:dyDescent="0.25">
      <c r="A52" s="66" t="s">
        <v>55</v>
      </c>
      <c r="B52" s="66" t="s">
        <v>2252</v>
      </c>
      <c r="C52" s="66" t="s">
        <v>2253</v>
      </c>
      <c r="D52" s="67">
        <f>'Soupis dodávek a prací'!J1782</f>
        <v>0</v>
      </c>
      <c r="E52" s="67">
        <f>'Soupis dodávek a prací'!K1782</f>
        <v>0</v>
      </c>
      <c r="F52" s="67">
        <f>'Soupis dodávek a prací'!L1782</f>
        <v>0</v>
      </c>
      <c r="G52" s="67">
        <f>'Soupis dodávek a prací'!O1782</f>
        <v>1.8279856000000001</v>
      </c>
      <c r="H52" s="32" t="s">
        <v>4224</v>
      </c>
      <c r="I52" s="23">
        <f t="shared" si="1"/>
        <v>0</v>
      </c>
    </row>
    <row r="53" spans="1:9" x14ac:dyDescent="0.25">
      <c r="A53" s="66" t="s">
        <v>55</v>
      </c>
      <c r="B53" s="66" t="s">
        <v>2318</v>
      </c>
      <c r="C53" s="66" t="s">
        <v>2319</v>
      </c>
      <c r="D53" s="67">
        <f>'Soupis dodávek a prací'!J1818</f>
        <v>0</v>
      </c>
      <c r="E53" s="67">
        <f>'Soupis dodávek a prací'!K1818</f>
        <v>0</v>
      </c>
      <c r="F53" s="67">
        <f>'Soupis dodávek a prací'!L1818</f>
        <v>0</v>
      </c>
      <c r="G53" s="67">
        <f>'Soupis dodávek a prací'!O1818</f>
        <v>1.3999999999999997</v>
      </c>
      <c r="H53" s="32" t="s">
        <v>4224</v>
      </c>
      <c r="I53" s="23">
        <f t="shared" si="1"/>
        <v>0</v>
      </c>
    </row>
    <row r="54" spans="1:9" x14ac:dyDescent="0.25">
      <c r="A54" s="66" t="s">
        <v>55</v>
      </c>
      <c r="B54" s="66" t="s">
        <v>2505</v>
      </c>
      <c r="C54" s="66" t="s">
        <v>2506</v>
      </c>
      <c r="D54" s="67">
        <f>'Soupis dodávek a prací'!J1894</f>
        <v>0</v>
      </c>
      <c r="E54" s="67">
        <f>'Soupis dodávek a prací'!K1894</f>
        <v>0</v>
      </c>
      <c r="F54" s="67">
        <f>'Soupis dodávek a prací'!L1894</f>
        <v>0</v>
      </c>
      <c r="G54" s="67">
        <f>'Soupis dodávek a prací'!O1894</f>
        <v>13738.74523968</v>
      </c>
      <c r="H54" s="32" t="s">
        <v>4224</v>
      </c>
      <c r="I54" s="23">
        <f t="shared" si="1"/>
        <v>0</v>
      </c>
    </row>
    <row r="55" spans="1:9" x14ac:dyDescent="0.25">
      <c r="A55" s="66" t="s">
        <v>55</v>
      </c>
      <c r="B55" s="66" t="s">
        <v>2699</v>
      </c>
      <c r="C55" s="66" t="s">
        <v>2700</v>
      </c>
      <c r="D55" s="67">
        <f>'Soupis dodávek a prací'!J2000</f>
        <v>0</v>
      </c>
      <c r="E55" s="67">
        <f>'Soupis dodávek a prací'!K2000</f>
        <v>0</v>
      </c>
      <c r="F55" s="67">
        <f>'Soupis dodávek a prací'!L2000</f>
        <v>0</v>
      </c>
      <c r="G55" s="67">
        <f>'Soupis dodávek a prací'!O2000</f>
        <v>4.6041713600000005</v>
      </c>
      <c r="H55" s="32" t="s">
        <v>4224</v>
      </c>
      <c r="I55" s="23">
        <f t="shared" si="1"/>
        <v>0</v>
      </c>
    </row>
    <row r="56" spans="1:9" x14ac:dyDescent="0.25">
      <c r="A56" s="66" t="s">
        <v>55</v>
      </c>
      <c r="B56" s="66" t="s">
        <v>2736</v>
      </c>
      <c r="C56" s="66" t="s">
        <v>2737</v>
      </c>
      <c r="D56" s="67">
        <f>'Soupis dodávek a prací'!J2033</f>
        <v>0</v>
      </c>
      <c r="E56" s="67">
        <f>'Soupis dodávek a prací'!K2033</f>
        <v>0</v>
      </c>
      <c r="F56" s="67">
        <f>'Soupis dodávek a prací'!L2033</f>
        <v>0</v>
      </c>
      <c r="G56" s="67">
        <f>'Soupis dodávek a prací'!O2033</f>
        <v>1.8996763569999999</v>
      </c>
      <c r="H56" s="32" t="s">
        <v>4224</v>
      </c>
      <c r="I56" s="23">
        <f t="shared" si="1"/>
        <v>0</v>
      </c>
    </row>
    <row r="57" spans="1:9" x14ac:dyDescent="0.25">
      <c r="A57" s="66" t="s">
        <v>55</v>
      </c>
      <c r="B57" s="66" t="s">
        <v>2802</v>
      </c>
      <c r="C57" s="66" t="s">
        <v>2803</v>
      </c>
      <c r="D57" s="67">
        <f>'Soupis dodávek a prací'!J2103</f>
        <v>0</v>
      </c>
      <c r="E57" s="67">
        <f>'Soupis dodávek a prací'!K2103</f>
        <v>0</v>
      </c>
      <c r="F57" s="67">
        <f>'Soupis dodávek a prací'!L2103</f>
        <v>0</v>
      </c>
      <c r="G57" s="67">
        <f>'Soupis dodávek a prací'!O2103</f>
        <v>5.7855351915000002</v>
      </c>
      <c r="H57" s="32" t="s">
        <v>4224</v>
      </c>
      <c r="I57" s="23">
        <f t="shared" si="1"/>
        <v>0</v>
      </c>
    </row>
    <row r="58" spans="1:9" x14ac:dyDescent="0.25">
      <c r="A58" s="66" t="s">
        <v>55</v>
      </c>
      <c r="B58" s="66" t="s">
        <v>2850</v>
      </c>
      <c r="C58" s="66" t="s">
        <v>2851</v>
      </c>
      <c r="D58" s="67">
        <f>'Soupis dodávek a prací'!J2150</f>
        <v>0</v>
      </c>
      <c r="E58" s="67">
        <f>'Soupis dodávek a prací'!K2150</f>
        <v>0</v>
      </c>
      <c r="F58" s="67">
        <f>'Soupis dodávek a prací'!L2150</f>
        <v>0</v>
      </c>
      <c r="G58" s="67">
        <f>'Soupis dodávek a prací'!O2150</f>
        <v>1.3750194910000002</v>
      </c>
      <c r="H58" s="32" t="s">
        <v>4224</v>
      </c>
      <c r="I58" s="23">
        <f t="shared" si="1"/>
        <v>0</v>
      </c>
    </row>
    <row r="59" spans="1:9" x14ac:dyDescent="0.25">
      <c r="A59" s="66" t="s">
        <v>55</v>
      </c>
      <c r="B59" s="66" t="s">
        <v>2884</v>
      </c>
      <c r="C59" s="66" t="s">
        <v>2885</v>
      </c>
      <c r="D59" s="67">
        <f>'Soupis dodávek a prací'!J2226</f>
        <v>0</v>
      </c>
      <c r="E59" s="67">
        <f>'Soupis dodávek a prací'!K2226</f>
        <v>0</v>
      </c>
      <c r="F59" s="67">
        <f>'Soupis dodávek a prací'!L2226</f>
        <v>0</v>
      </c>
      <c r="G59" s="67">
        <f>'Soupis dodávek a prací'!O2226</f>
        <v>0.1454</v>
      </c>
      <c r="H59" s="32" t="s">
        <v>4224</v>
      </c>
      <c r="I59" s="23">
        <f t="shared" si="1"/>
        <v>0</v>
      </c>
    </row>
    <row r="60" spans="1:9" x14ac:dyDescent="0.25">
      <c r="A60" s="66" t="s">
        <v>55</v>
      </c>
      <c r="B60" s="66" t="s">
        <v>2896</v>
      </c>
      <c r="C60" s="66" t="s">
        <v>2897</v>
      </c>
      <c r="D60" s="67">
        <f>'Soupis dodávek a prací'!J2230</f>
        <v>0</v>
      </c>
      <c r="E60" s="67">
        <f>'Soupis dodávek a prací'!K2230</f>
        <v>0</v>
      </c>
      <c r="F60" s="67">
        <f>'Soupis dodávek a prací'!L2230</f>
        <v>0</v>
      </c>
      <c r="G60" s="67">
        <f>'Soupis dodávek a prací'!O2230</f>
        <v>0.16669812000000001</v>
      </c>
      <c r="H60" s="32" t="s">
        <v>4224</v>
      </c>
      <c r="I60" s="23">
        <f t="shared" si="1"/>
        <v>0</v>
      </c>
    </row>
    <row r="61" spans="1:9" x14ac:dyDescent="0.25">
      <c r="A61" s="66" t="s">
        <v>55</v>
      </c>
      <c r="B61" s="66" t="s">
        <v>2908</v>
      </c>
      <c r="C61" s="66" t="s">
        <v>2909</v>
      </c>
      <c r="D61" s="67">
        <f>'Soupis dodávek a prací'!J2235</f>
        <v>0</v>
      </c>
      <c r="E61" s="67">
        <f>'Soupis dodávek a prací'!K2235</f>
        <v>0</v>
      </c>
      <c r="F61" s="67">
        <f>'Soupis dodávek a prací'!L2235</f>
        <v>0</v>
      </c>
      <c r="G61" s="67">
        <f>'Soupis dodávek a prací'!O2235</f>
        <v>0.128</v>
      </c>
      <c r="H61" s="32" t="s">
        <v>4224</v>
      </c>
      <c r="I61" s="23">
        <f t="shared" si="1"/>
        <v>0</v>
      </c>
    </row>
    <row r="62" spans="1:9" x14ac:dyDescent="0.25">
      <c r="A62" s="66" t="s">
        <v>55</v>
      </c>
      <c r="B62" s="66" t="s">
        <v>2921</v>
      </c>
      <c r="C62" s="66" t="s">
        <v>2922</v>
      </c>
      <c r="D62" s="67">
        <f>'Soupis dodávek a prací'!J2239</f>
        <v>0</v>
      </c>
      <c r="E62" s="67">
        <f>'Soupis dodávek a prací'!K2239</f>
        <v>0</v>
      </c>
      <c r="F62" s="67">
        <f>'Soupis dodávek a prací'!L2239</f>
        <v>0</v>
      </c>
      <c r="G62" s="67">
        <f>'Soupis dodávek a prací'!O2239</f>
        <v>482.91546720000019</v>
      </c>
      <c r="H62" s="32" t="s">
        <v>4224</v>
      </c>
      <c r="I62" s="23">
        <f t="shared" si="1"/>
        <v>0</v>
      </c>
    </row>
    <row r="63" spans="1:9" x14ac:dyDescent="0.25">
      <c r="A63" s="66" t="s">
        <v>55</v>
      </c>
      <c r="B63" s="66" t="s">
        <v>3128</v>
      </c>
      <c r="C63" s="66" t="s">
        <v>3129</v>
      </c>
      <c r="D63" s="67">
        <f>'Soupis dodávek a prací'!J2359</f>
        <v>0</v>
      </c>
      <c r="E63" s="67">
        <f>'Soupis dodávek a prací'!K2359</f>
        <v>0</v>
      </c>
      <c r="F63" s="67">
        <f>'Soupis dodávek a prací'!L2359</f>
        <v>0</v>
      </c>
      <c r="G63" s="67">
        <f>'Soupis dodávek a prací'!O2359</f>
        <v>170.9014369999999</v>
      </c>
      <c r="H63" s="32" t="s">
        <v>4224</v>
      </c>
      <c r="I63" s="23">
        <f t="shared" si="1"/>
        <v>0</v>
      </c>
    </row>
    <row r="64" spans="1:9" s="61" customFormat="1" x14ac:dyDescent="0.25">
      <c r="A64" s="64" t="s">
        <v>55</v>
      </c>
      <c r="B64" s="64" t="s">
        <v>54</v>
      </c>
      <c r="C64" s="64" t="s">
        <v>3488</v>
      </c>
      <c r="D64" s="65">
        <f>'Soupis dodávek a prací'!J2536</f>
        <v>0</v>
      </c>
      <c r="E64" s="65">
        <f>'Soupis dodávek a prací'!K2536</f>
        <v>0</v>
      </c>
      <c r="F64" s="65">
        <f>'Soupis dodávek a prací'!L2536</f>
        <v>0</v>
      </c>
      <c r="G64" s="65">
        <f>'Soupis dodávek a prací'!O2536</f>
        <v>0</v>
      </c>
      <c r="H64" s="60" t="s">
        <v>4223</v>
      </c>
      <c r="I64" s="59">
        <f t="shared" si="1"/>
        <v>0</v>
      </c>
    </row>
    <row r="65" spans="1:9" x14ac:dyDescent="0.25">
      <c r="A65" s="66" t="s">
        <v>55</v>
      </c>
      <c r="B65" s="66" t="s">
        <v>3489</v>
      </c>
      <c r="C65" s="66" t="s">
        <v>3490</v>
      </c>
      <c r="D65" s="67">
        <f>'Soupis dodávek a prací'!J2537</f>
        <v>0</v>
      </c>
      <c r="E65" s="67">
        <f>'Soupis dodávek a prací'!K2537</f>
        <v>0</v>
      </c>
      <c r="F65" s="67">
        <f>'Soupis dodávek a prací'!L2537</f>
        <v>0</v>
      </c>
      <c r="G65" s="67">
        <f>'Soupis dodávek a prací'!O2537</f>
        <v>0</v>
      </c>
      <c r="H65" s="32" t="s">
        <v>4224</v>
      </c>
      <c r="I65" s="23">
        <f t="shared" si="1"/>
        <v>0</v>
      </c>
    </row>
    <row r="66" spans="1:9" s="58" customFormat="1" x14ac:dyDescent="0.25">
      <c r="A66" s="68" t="s">
        <v>4018</v>
      </c>
      <c r="B66" s="68" t="s">
        <v>54</v>
      </c>
      <c r="C66" s="68" t="s">
        <v>4019</v>
      </c>
      <c r="D66" s="69">
        <f>'Soupis dodávek a prací'!J2717</f>
        <v>0</v>
      </c>
      <c r="E66" s="69">
        <f>'Soupis dodávek a prací'!K2717</f>
        <v>0</v>
      </c>
      <c r="F66" s="69">
        <f>'Soupis dodávek a prací'!L2717</f>
        <v>0</v>
      </c>
      <c r="G66" s="69">
        <f>'Soupis dodávek a prací'!O2717</f>
        <v>385.07113543999998</v>
      </c>
      <c r="H66" s="56" t="s">
        <v>4223</v>
      </c>
      <c r="I66" s="57">
        <f t="shared" si="1"/>
        <v>0</v>
      </c>
    </row>
    <row r="67" spans="1:9" s="61" customFormat="1" x14ac:dyDescent="0.25">
      <c r="A67" s="64" t="s">
        <v>4018</v>
      </c>
      <c r="B67" s="64" t="s">
        <v>54</v>
      </c>
      <c r="C67" s="64" t="s">
        <v>56</v>
      </c>
      <c r="D67" s="65">
        <f>'Soupis dodávek a prací'!J2718</f>
        <v>0</v>
      </c>
      <c r="E67" s="65">
        <f>'Soupis dodávek a prací'!K2718</f>
        <v>0</v>
      </c>
      <c r="F67" s="65">
        <f>'Soupis dodávek a prací'!L2718</f>
        <v>0</v>
      </c>
      <c r="G67" s="65">
        <f>'Soupis dodávek a prací'!O2718</f>
        <v>385.07113543999998</v>
      </c>
      <c r="H67" s="60" t="s">
        <v>4223</v>
      </c>
      <c r="I67" s="59">
        <f t="shared" si="1"/>
        <v>0</v>
      </c>
    </row>
    <row r="68" spans="1:9" x14ac:dyDescent="0.25">
      <c r="A68" s="66" t="s">
        <v>4018</v>
      </c>
      <c r="B68" s="66" t="s">
        <v>57</v>
      </c>
      <c r="C68" s="66" t="s">
        <v>58</v>
      </c>
      <c r="D68" s="67">
        <f>'Soupis dodávek a prací'!J2719</f>
        <v>0</v>
      </c>
      <c r="E68" s="67">
        <f>'Soupis dodávek a prací'!K2719</f>
        <v>0</v>
      </c>
      <c r="F68" s="67">
        <f>'Soupis dodávek a prací'!L2719</f>
        <v>0</v>
      </c>
      <c r="G68" s="67">
        <f>'Soupis dodávek a prací'!O2719</f>
        <v>0</v>
      </c>
      <c r="H68" s="32" t="s">
        <v>4224</v>
      </c>
      <c r="I68" s="23">
        <f t="shared" si="1"/>
        <v>0</v>
      </c>
    </row>
    <row r="69" spans="1:9" x14ac:dyDescent="0.25">
      <c r="A69" s="66" t="s">
        <v>4018</v>
      </c>
      <c r="B69" s="66" t="s">
        <v>134</v>
      </c>
      <c r="C69" s="66" t="s">
        <v>135</v>
      </c>
      <c r="D69" s="67">
        <f>'Soupis dodávek a prací'!J2725</f>
        <v>0</v>
      </c>
      <c r="E69" s="67">
        <f>'Soupis dodávek a prací'!K2725</f>
        <v>0</v>
      </c>
      <c r="F69" s="67">
        <f>'Soupis dodávek a prací'!L2725</f>
        <v>0</v>
      </c>
      <c r="G69" s="67">
        <f>'Soupis dodávek a prací'!O2725</f>
        <v>0</v>
      </c>
      <c r="H69" s="32" t="s">
        <v>4224</v>
      </c>
      <c r="I69" s="23">
        <f t="shared" si="1"/>
        <v>0</v>
      </c>
    </row>
    <row r="70" spans="1:9" x14ac:dyDescent="0.25">
      <c r="A70" s="66" t="s">
        <v>4018</v>
      </c>
      <c r="B70" s="66" t="s">
        <v>63</v>
      </c>
      <c r="C70" s="66" t="s">
        <v>204</v>
      </c>
      <c r="D70" s="67">
        <f>'Soupis dodávek a prací'!J2730</f>
        <v>0</v>
      </c>
      <c r="E70" s="67">
        <f>'Soupis dodávek a prací'!K2730</f>
        <v>0</v>
      </c>
      <c r="F70" s="67">
        <f>'Soupis dodávek a prací'!L2730</f>
        <v>0</v>
      </c>
      <c r="G70" s="67">
        <f>'Soupis dodávek a prací'!O2730</f>
        <v>13.4525553</v>
      </c>
      <c r="H70" s="32" t="s">
        <v>4224</v>
      </c>
      <c r="I70" s="23">
        <f t="shared" si="1"/>
        <v>0</v>
      </c>
    </row>
    <row r="71" spans="1:9" x14ac:dyDescent="0.25">
      <c r="A71" s="66" t="s">
        <v>4018</v>
      </c>
      <c r="B71" s="66" t="s">
        <v>217</v>
      </c>
      <c r="C71" s="66" t="s">
        <v>218</v>
      </c>
      <c r="D71" s="67">
        <f>'Soupis dodávek a prací'!J2735</f>
        <v>0</v>
      </c>
      <c r="E71" s="67">
        <f>'Soupis dodávek a prací'!K2735</f>
        <v>0</v>
      </c>
      <c r="F71" s="67">
        <f>'Soupis dodávek a prací'!L2735</f>
        <v>0</v>
      </c>
      <c r="G71" s="67">
        <f>'Soupis dodávek a prací'!O2735</f>
        <v>51.137790000000003</v>
      </c>
      <c r="H71" s="32" t="s">
        <v>4224</v>
      </c>
      <c r="I71" s="23">
        <f t="shared" si="1"/>
        <v>0</v>
      </c>
    </row>
    <row r="72" spans="1:9" x14ac:dyDescent="0.25">
      <c r="A72" s="66" t="s">
        <v>4018</v>
      </c>
      <c r="B72" s="66" t="s">
        <v>521</v>
      </c>
      <c r="C72" s="66" t="s">
        <v>4050</v>
      </c>
      <c r="D72" s="67">
        <f>'Soupis dodávek a prací'!J2745</f>
        <v>0</v>
      </c>
      <c r="E72" s="67">
        <f>'Soupis dodávek a prací'!K2745</f>
        <v>0</v>
      </c>
      <c r="F72" s="67">
        <f>'Soupis dodávek a prací'!L2745</f>
        <v>0</v>
      </c>
      <c r="G72" s="67">
        <f>'Soupis dodávek a prací'!O2745</f>
        <v>317.49175513999995</v>
      </c>
      <c r="H72" s="32" t="s">
        <v>4224</v>
      </c>
      <c r="I72" s="23">
        <f t="shared" si="1"/>
        <v>0</v>
      </c>
    </row>
    <row r="73" spans="1:9" x14ac:dyDescent="0.25">
      <c r="A73" s="66" t="s">
        <v>4018</v>
      </c>
      <c r="B73" s="66" t="s">
        <v>525</v>
      </c>
      <c r="C73" s="66" t="s">
        <v>855</v>
      </c>
      <c r="D73" s="67">
        <f>'Soupis dodávek a prací'!J2749</f>
        <v>0</v>
      </c>
      <c r="E73" s="67">
        <f>'Soupis dodávek a prací'!K2749</f>
        <v>0</v>
      </c>
      <c r="F73" s="67">
        <f>'Soupis dodávek a prací'!L2749</f>
        <v>0</v>
      </c>
      <c r="G73" s="67">
        <f>'Soupis dodávek a prací'!O2749</f>
        <v>2.9890349999999999</v>
      </c>
      <c r="H73" s="32" t="s">
        <v>4224</v>
      </c>
      <c r="I73" s="23">
        <f t="shared" si="1"/>
        <v>0</v>
      </c>
    </row>
    <row r="74" spans="1:9" x14ac:dyDescent="0.25">
      <c r="A74" s="66" t="s">
        <v>4018</v>
      </c>
      <c r="B74" s="66" t="s">
        <v>852</v>
      </c>
      <c r="C74" s="66" t="s">
        <v>1348</v>
      </c>
      <c r="D74" s="67">
        <f>'Soupis dodávek a prací'!J2752</f>
        <v>0</v>
      </c>
      <c r="E74" s="67">
        <f>'Soupis dodávek a prací'!K2752</f>
        <v>0</v>
      </c>
      <c r="F74" s="67">
        <f>'Soupis dodávek a prací'!L2752</f>
        <v>0</v>
      </c>
      <c r="G74" s="67">
        <f>'Soupis dodávek a prací'!O2752</f>
        <v>0</v>
      </c>
      <c r="H74" s="32" t="s">
        <v>4224</v>
      </c>
      <c r="I74" s="23">
        <f t="shared" si="1"/>
        <v>0</v>
      </c>
    </row>
    <row r="75" spans="1:9" s="61" customFormat="1" x14ac:dyDescent="0.25">
      <c r="A75" s="64" t="s">
        <v>4018</v>
      </c>
      <c r="B75" s="64" t="s">
        <v>54</v>
      </c>
      <c r="C75" s="64" t="s">
        <v>1353</v>
      </c>
      <c r="D75" s="65">
        <f>'Soupis dodávek a prací'!J2754</f>
        <v>0</v>
      </c>
      <c r="E75" s="65">
        <f>'Soupis dodávek a prací'!K2754</f>
        <v>0</v>
      </c>
      <c r="F75" s="65">
        <f>'Soupis dodávek a prací'!L2754</f>
        <v>0</v>
      </c>
      <c r="G75" s="65">
        <f>'Soupis dodávek a prací'!O2754</f>
        <v>0</v>
      </c>
      <c r="H75" s="60" t="s">
        <v>4223</v>
      </c>
      <c r="I75" s="59">
        <f t="shared" ref="I75:I97" si="2">IF(H75="F",0,F75)</f>
        <v>0</v>
      </c>
    </row>
    <row r="76" spans="1:9" x14ac:dyDescent="0.25">
      <c r="A76" s="66" t="s">
        <v>4018</v>
      </c>
      <c r="B76" s="66" t="s">
        <v>2505</v>
      </c>
      <c r="C76" s="66" t="s">
        <v>2506</v>
      </c>
      <c r="D76" s="67">
        <f>'Soupis dodávek a prací'!J2755</f>
        <v>0</v>
      </c>
      <c r="E76" s="67">
        <f>'Soupis dodávek a prací'!K2755</f>
        <v>0</v>
      </c>
      <c r="F76" s="67">
        <f>'Soupis dodávek a prací'!L2755</f>
        <v>0</v>
      </c>
      <c r="G76" s="67">
        <f>'Soupis dodávek a prací'!O2755</f>
        <v>0</v>
      </c>
      <c r="H76" s="32" t="s">
        <v>4224</v>
      </c>
      <c r="I76" s="23">
        <f t="shared" si="2"/>
        <v>0</v>
      </c>
    </row>
    <row r="77" spans="1:9" s="58" customFormat="1" x14ac:dyDescent="0.25">
      <c r="A77" s="68" t="s">
        <v>4072</v>
      </c>
      <c r="B77" s="68" t="s">
        <v>54</v>
      </c>
      <c r="C77" s="68" t="s">
        <v>4073</v>
      </c>
      <c r="D77" s="69">
        <f>'Soupis dodávek a prací'!J2762</f>
        <v>0</v>
      </c>
      <c r="E77" s="69">
        <f>'Soupis dodávek a prací'!K2762</f>
        <v>0</v>
      </c>
      <c r="F77" s="69">
        <f>'Soupis dodávek a prací'!L2762</f>
        <v>0</v>
      </c>
      <c r="G77" s="69">
        <f>'Soupis dodávek a prací'!O2762</f>
        <v>4000.1700064269999</v>
      </c>
      <c r="H77" s="56" t="s">
        <v>4223</v>
      </c>
      <c r="I77" s="57">
        <f t="shared" si="2"/>
        <v>0</v>
      </c>
    </row>
    <row r="78" spans="1:9" s="61" customFormat="1" x14ac:dyDescent="0.25">
      <c r="A78" s="64" t="s">
        <v>4072</v>
      </c>
      <c r="B78" s="64" t="s">
        <v>54</v>
      </c>
      <c r="C78" s="64" t="s">
        <v>56</v>
      </c>
      <c r="D78" s="65">
        <f>'Soupis dodávek a prací'!J2763</f>
        <v>0</v>
      </c>
      <c r="E78" s="65">
        <f>'Soupis dodávek a prací'!K2763</f>
        <v>0</v>
      </c>
      <c r="F78" s="65">
        <f>'Soupis dodávek a prací'!L2763</f>
        <v>0</v>
      </c>
      <c r="G78" s="65">
        <f>'Soupis dodávek a prací'!O2763</f>
        <v>4000.1700064269999</v>
      </c>
      <c r="H78" s="60" t="s">
        <v>4223</v>
      </c>
      <c r="I78" s="59">
        <f t="shared" si="2"/>
        <v>0</v>
      </c>
    </row>
    <row r="79" spans="1:9" x14ac:dyDescent="0.25">
      <c r="A79" s="66" t="s">
        <v>4072</v>
      </c>
      <c r="B79" s="66" t="s">
        <v>502</v>
      </c>
      <c r="C79" s="66" t="s">
        <v>4074</v>
      </c>
      <c r="D79" s="67">
        <f>'Soupis dodávek a prací'!J2764</f>
        <v>0</v>
      </c>
      <c r="E79" s="67">
        <f>'Soupis dodávek a prací'!K2764</f>
        <v>0</v>
      </c>
      <c r="F79" s="67">
        <f>'Soupis dodávek a prací'!L2764</f>
        <v>0</v>
      </c>
      <c r="G79" s="67">
        <f>'Soupis dodávek a prací'!O2764</f>
        <v>563.01864</v>
      </c>
      <c r="H79" s="32" t="s">
        <v>4224</v>
      </c>
      <c r="I79" s="23">
        <f t="shared" si="2"/>
        <v>0</v>
      </c>
    </row>
    <row r="80" spans="1:9" x14ac:dyDescent="0.25">
      <c r="A80" s="66" t="s">
        <v>4072</v>
      </c>
      <c r="B80" s="66" t="s">
        <v>521</v>
      </c>
      <c r="C80" s="66" t="s">
        <v>4050</v>
      </c>
      <c r="D80" s="67">
        <f>'Soupis dodávek a prací'!J2768</f>
        <v>0</v>
      </c>
      <c r="E80" s="67">
        <f>'Soupis dodávek a prací'!K2768</f>
        <v>0</v>
      </c>
      <c r="F80" s="67">
        <f>'Soupis dodávek a prací'!L2768</f>
        <v>0</v>
      </c>
      <c r="G80" s="67">
        <f>'Soupis dodávek a prací'!O2768</f>
        <v>1091.6435424440001</v>
      </c>
      <c r="H80" s="32" t="s">
        <v>4224</v>
      </c>
      <c r="I80" s="23">
        <f t="shared" si="2"/>
        <v>0</v>
      </c>
    </row>
    <row r="81" spans="1:9" x14ac:dyDescent="0.25">
      <c r="A81" s="66" t="s">
        <v>4072</v>
      </c>
      <c r="B81" s="66" t="s">
        <v>525</v>
      </c>
      <c r="C81" s="66" t="s">
        <v>855</v>
      </c>
      <c r="D81" s="67">
        <f>'Soupis dodávek a prací'!J2776</f>
        <v>0</v>
      </c>
      <c r="E81" s="67">
        <f>'Soupis dodávek a prací'!K2776</f>
        <v>0</v>
      </c>
      <c r="F81" s="67">
        <f>'Soupis dodávek a prací'!L2776</f>
        <v>0</v>
      </c>
      <c r="G81" s="67">
        <f>'Soupis dodávek a prací'!O2776</f>
        <v>648.33508518300005</v>
      </c>
      <c r="H81" s="32" t="s">
        <v>4224</v>
      </c>
      <c r="I81" s="23">
        <f t="shared" si="2"/>
        <v>0</v>
      </c>
    </row>
    <row r="82" spans="1:9" x14ac:dyDescent="0.25">
      <c r="A82" s="66" t="s">
        <v>4072</v>
      </c>
      <c r="B82" s="66" t="s">
        <v>781</v>
      </c>
      <c r="C82" s="66" t="s">
        <v>4108</v>
      </c>
      <c r="D82" s="67">
        <f>'Soupis dodávek a prací'!J2794</f>
        <v>0</v>
      </c>
      <c r="E82" s="67">
        <f>'Soupis dodávek a prací'!K2794</f>
        <v>0</v>
      </c>
      <c r="F82" s="67">
        <f>'Soupis dodávek a prací'!L2794</f>
        <v>0</v>
      </c>
      <c r="G82" s="67">
        <f>'Soupis dodávek a prací'!O2794</f>
        <v>0</v>
      </c>
      <c r="H82" s="32" t="s">
        <v>4224</v>
      </c>
      <c r="I82" s="23">
        <f t="shared" si="2"/>
        <v>0</v>
      </c>
    </row>
    <row r="83" spans="1:9" x14ac:dyDescent="0.25">
      <c r="A83" s="66" t="s">
        <v>4072</v>
      </c>
      <c r="B83" s="66" t="s">
        <v>791</v>
      </c>
      <c r="C83" s="66" t="s">
        <v>4119</v>
      </c>
      <c r="D83" s="67">
        <f>'Soupis dodávek a prací'!J2798</f>
        <v>0</v>
      </c>
      <c r="E83" s="67">
        <f>'Soupis dodávek a prací'!K2798</f>
        <v>0</v>
      </c>
      <c r="F83" s="67">
        <f>'Soupis dodávek a prací'!L2798</f>
        <v>0</v>
      </c>
      <c r="G83" s="67">
        <f>'Soupis dodávek a prací'!O2798</f>
        <v>0</v>
      </c>
      <c r="H83" s="32" t="s">
        <v>4224</v>
      </c>
      <c r="I83" s="23">
        <f t="shared" si="2"/>
        <v>0</v>
      </c>
    </row>
    <row r="84" spans="1:9" x14ac:dyDescent="0.25">
      <c r="A84" s="66" t="s">
        <v>4072</v>
      </c>
      <c r="B84" s="66" t="s">
        <v>811</v>
      </c>
      <c r="C84" s="66" t="s">
        <v>1316</v>
      </c>
      <c r="D84" s="67">
        <f>'Soupis dodávek a prací'!J2800</f>
        <v>0</v>
      </c>
      <c r="E84" s="67">
        <f>'Soupis dodávek a prací'!K2800</f>
        <v>0</v>
      </c>
      <c r="F84" s="67">
        <f>'Soupis dodávek a prací'!L2800</f>
        <v>0</v>
      </c>
      <c r="G84" s="67">
        <f>'Soupis dodávek a prací'!O2800</f>
        <v>2.4000000000000001E-4</v>
      </c>
      <c r="H84" s="32" t="s">
        <v>4224</v>
      </c>
      <c r="I84" s="23">
        <f t="shared" si="2"/>
        <v>0</v>
      </c>
    </row>
    <row r="85" spans="1:9" x14ac:dyDescent="0.25">
      <c r="A85" s="66" t="s">
        <v>4072</v>
      </c>
      <c r="B85" s="66" t="s">
        <v>845</v>
      </c>
      <c r="C85" s="66" t="s">
        <v>1334</v>
      </c>
      <c r="D85" s="67">
        <f>'Soupis dodávek a prací'!J2811</f>
        <v>0</v>
      </c>
      <c r="E85" s="67">
        <f>'Soupis dodávek a prací'!K2811</f>
        <v>0</v>
      </c>
      <c r="F85" s="67">
        <f>'Soupis dodávek a prací'!L2811</f>
        <v>0</v>
      </c>
      <c r="G85" s="67">
        <f>'Soupis dodávek a prací'!O2811</f>
        <v>1697.1724988000001</v>
      </c>
      <c r="H85" s="32" t="s">
        <v>4224</v>
      </c>
      <c r="I85" s="23">
        <f t="shared" si="2"/>
        <v>0</v>
      </c>
    </row>
    <row r="86" spans="1:9" s="61" customFormat="1" x14ac:dyDescent="0.25">
      <c r="A86" s="64" t="s">
        <v>4072</v>
      </c>
      <c r="B86" s="64" t="s">
        <v>4153</v>
      </c>
      <c r="C86" s="64" t="s">
        <v>4154</v>
      </c>
      <c r="D86" s="65">
        <f>'Soupis dodávek a prací'!J2827</f>
        <v>0</v>
      </c>
      <c r="E86" s="65">
        <f>'Soupis dodávek a prací'!K2827</f>
        <v>0</v>
      </c>
      <c r="F86" s="65">
        <f>'Soupis dodávek a prací'!L2827</f>
        <v>0</v>
      </c>
      <c r="G86" s="65">
        <f>'Soupis dodávek a prací'!O2827</f>
        <v>0</v>
      </c>
      <c r="H86" s="60" t="s">
        <v>4223</v>
      </c>
      <c r="I86" s="59">
        <f t="shared" si="2"/>
        <v>0</v>
      </c>
    </row>
    <row r="87" spans="1:9" x14ac:dyDescent="0.25">
      <c r="A87" s="66" t="s">
        <v>4072</v>
      </c>
      <c r="B87" s="66" t="s">
        <v>4155</v>
      </c>
      <c r="C87" s="66" t="s">
        <v>4156</v>
      </c>
      <c r="D87" s="67">
        <f>'Soupis dodávek a prací'!J2828</f>
        <v>0</v>
      </c>
      <c r="E87" s="67">
        <f>'Soupis dodávek a prací'!K2828</f>
        <v>0</v>
      </c>
      <c r="F87" s="67">
        <f>'Soupis dodávek a prací'!L2828</f>
        <v>0</v>
      </c>
      <c r="G87" s="67">
        <f>'Soupis dodávek a prací'!O2828</f>
        <v>0</v>
      </c>
      <c r="H87" s="32" t="s">
        <v>4224</v>
      </c>
      <c r="I87" s="23">
        <f t="shared" si="2"/>
        <v>0</v>
      </c>
    </row>
    <row r="88" spans="1:9" x14ac:dyDescent="0.25">
      <c r="A88" s="66" t="s">
        <v>4072</v>
      </c>
      <c r="B88" s="66" t="s">
        <v>4166</v>
      </c>
      <c r="C88" s="66" t="s">
        <v>4167</v>
      </c>
      <c r="D88" s="67">
        <f>'Soupis dodávek a prací'!J2831</f>
        <v>0</v>
      </c>
      <c r="E88" s="67">
        <f>'Soupis dodávek a prací'!K2831</f>
        <v>0</v>
      </c>
      <c r="F88" s="67">
        <f>'Soupis dodávek a prací'!L2831</f>
        <v>0</v>
      </c>
      <c r="G88" s="67">
        <f>'Soupis dodávek a prací'!O2831</f>
        <v>0</v>
      </c>
      <c r="H88" s="32" t="s">
        <v>4224</v>
      </c>
      <c r="I88" s="23">
        <f t="shared" si="2"/>
        <v>0</v>
      </c>
    </row>
    <row r="89" spans="1:9" x14ac:dyDescent="0.25">
      <c r="A89" s="66" t="s">
        <v>4072</v>
      </c>
      <c r="B89" s="66" t="s">
        <v>4173</v>
      </c>
      <c r="C89" s="66" t="s">
        <v>4174</v>
      </c>
      <c r="D89" s="67">
        <f>'Soupis dodávek a prací'!J2834</f>
        <v>0</v>
      </c>
      <c r="E89" s="67">
        <f>'Soupis dodávek a prací'!K2834</f>
        <v>0</v>
      </c>
      <c r="F89" s="67">
        <f>'Soupis dodávek a prací'!L2834</f>
        <v>0</v>
      </c>
      <c r="G89" s="67">
        <f>'Soupis dodávek a prací'!O2834</f>
        <v>0</v>
      </c>
      <c r="H89" s="32" t="s">
        <v>4224</v>
      </c>
      <c r="I89" s="23">
        <f t="shared" si="2"/>
        <v>0</v>
      </c>
    </row>
    <row r="90" spans="1:9" x14ac:dyDescent="0.25">
      <c r="A90" s="66" t="s">
        <v>4072</v>
      </c>
      <c r="B90" s="66" t="s">
        <v>4182</v>
      </c>
      <c r="C90" s="66" t="s">
        <v>4183</v>
      </c>
      <c r="D90" s="67">
        <f>'Soupis dodávek a prací'!J2837</f>
        <v>0</v>
      </c>
      <c r="E90" s="67">
        <f>'Soupis dodávek a prací'!K2837</f>
        <v>0</v>
      </c>
      <c r="F90" s="67">
        <f>'Soupis dodávek a prací'!L2837</f>
        <v>0</v>
      </c>
      <c r="G90" s="67">
        <f>'Soupis dodávek a prací'!O2837</f>
        <v>0</v>
      </c>
      <c r="H90" s="32" t="s">
        <v>4224</v>
      </c>
      <c r="I90" s="23">
        <f t="shared" si="2"/>
        <v>0</v>
      </c>
    </row>
    <row r="91" spans="1:9" x14ac:dyDescent="0.25">
      <c r="A91" s="66" t="s">
        <v>4072</v>
      </c>
      <c r="B91" s="66" t="s">
        <v>4188</v>
      </c>
      <c r="C91" s="66" t="s">
        <v>4189</v>
      </c>
      <c r="D91" s="67">
        <f>'Soupis dodávek a prací'!J2839</f>
        <v>0</v>
      </c>
      <c r="E91" s="67">
        <f>'Soupis dodávek a prací'!K2839</f>
        <v>0</v>
      </c>
      <c r="F91" s="67">
        <f>'Soupis dodávek a prací'!L2839</f>
        <v>0</v>
      </c>
      <c r="G91" s="67">
        <f>'Soupis dodávek a prací'!O2839</f>
        <v>0</v>
      </c>
      <c r="H91" s="32" t="s">
        <v>4224</v>
      </c>
      <c r="I91" s="23">
        <f t="shared" si="2"/>
        <v>0</v>
      </c>
    </row>
    <row r="92" spans="1:9" x14ac:dyDescent="0.25">
      <c r="A92" s="66" t="s">
        <v>4072</v>
      </c>
      <c r="B92" s="66" t="s">
        <v>4196</v>
      </c>
      <c r="C92" s="66" t="s">
        <v>4197</v>
      </c>
      <c r="D92" s="67">
        <f>'Soupis dodávek a prací'!J2842</f>
        <v>0</v>
      </c>
      <c r="E92" s="67">
        <f>'Soupis dodávek a prací'!K2842</f>
        <v>0</v>
      </c>
      <c r="F92" s="67">
        <f>'Soupis dodávek a prací'!L2842</f>
        <v>0</v>
      </c>
      <c r="G92" s="67">
        <f>'Soupis dodávek a prací'!O2842</f>
        <v>0</v>
      </c>
      <c r="H92" s="32" t="s">
        <v>4224</v>
      </c>
      <c r="I92" s="23">
        <f t="shared" si="2"/>
        <v>0</v>
      </c>
    </row>
    <row r="93" spans="1:9" x14ac:dyDescent="0.25">
      <c r="A93" s="66" t="s">
        <v>4072</v>
      </c>
      <c r="B93" s="66" t="s">
        <v>4201</v>
      </c>
      <c r="C93" s="66" t="s">
        <v>4202</v>
      </c>
      <c r="D93" s="67">
        <f>'Soupis dodávek a prací'!J2844</f>
        <v>0</v>
      </c>
      <c r="E93" s="67">
        <f>'Soupis dodávek a prací'!K2844</f>
        <v>0</v>
      </c>
      <c r="F93" s="67">
        <f>'Soupis dodávek a prací'!L2844</f>
        <v>0</v>
      </c>
      <c r="G93" s="67">
        <f>'Soupis dodávek a prací'!O2844</f>
        <v>0</v>
      </c>
      <c r="H93" s="32" t="s">
        <v>4224</v>
      </c>
      <c r="I93" s="23">
        <f t="shared" si="2"/>
        <v>0</v>
      </c>
    </row>
    <row r="94" spans="1:9" s="61" customFormat="1" x14ac:dyDescent="0.25">
      <c r="A94" s="64" t="s">
        <v>4072</v>
      </c>
      <c r="B94" s="64" t="s">
        <v>54</v>
      </c>
      <c r="C94" s="64" t="s">
        <v>1353</v>
      </c>
      <c r="D94" s="65">
        <f>'Soupis dodávek a prací'!J2846</f>
        <v>0</v>
      </c>
      <c r="E94" s="65">
        <f>'Soupis dodávek a prací'!K2846</f>
        <v>0</v>
      </c>
      <c r="F94" s="65">
        <f>'Soupis dodávek a prací'!L2846</f>
        <v>0</v>
      </c>
      <c r="G94" s="65">
        <f>'Soupis dodávek a prací'!O2846</f>
        <v>0</v>
      </c>
      <c r="H94" s="60" t="s">
        <v>4223</v>
      </c>
      <c r="I94" s="59">
        <f t="shared" si="2"/>
        <v>0</v>
      </c>
    </row>
    <row r="95" spans="1:9" x14ac:dyDescent="0.25">
      <c r="A95" s="66" t="s">
        <v>4072</v>
      </c>
      <c r="B95" s="66" t="s">
        <v>2921</v>
      </c>
      <c r="C95" s="66" t="s">
        <v>2922</v>
      </c>
      <c r="D95" s="67">
        <f>'Soupis dodávek a prací'!J2847</f>
        <v>0</v>
      </c>
      <c r="E95" s="67">
        <f>'Soupis dodávek a prací'!K2847</f>
        <v>0</v>
      </c>
      <c r="F95" s="67">
        <f>'Soupis dodávek a prací'!L2847</f>
        <v>0</v>
      </c>
      <c r="G95" s="67">
        <f>'Soupis dodávek a prací'!O2847</f>
        <v>0</v>
      </c>
      <c r="H95" s="32" t="s">
        <v>4224</v>
      </c>
      <c r="I95" s="23">
        <f t="shared" si="2"/>
        <v>0</v>
      </c>
    </row>
    <row r="96" spans="1:9" s="61" customFormat="1" x14ac:dyDescent="0.25">
      <c r="A96" s="64" t="s">
        <v>4072</v>
      </c>
      <c r="B96" s="64" t="s">
        <v>54</v>
      </c>
      <c r="C96" s="64" t="s">
        <v>3488</v>
      </c>
      <c r="D96" s="65">
        <f>'Soupis dodávek a prací'!J2849</f>
        <v>0</v>
      </c>
      <c r="E96" s="65">
        <f>'Soupis dodávek a prací'!K2849</f>
        <v>0</v>
      </c>
      <c r="F96" s="65">
        <f>'Soupis dodávek a prací'!L2849</f>
        <v>0</v>
      </c>
      <c r="G96" s="65">
        <f>'Soupis dodávek a prací'!O2849</f>
        <v>0</v>
      </c>
      <c r="H96" s="60" t="s">
        <v>4223</v>
      </c>
      <c r="I96" s="59">
        <f t="shared" si="2"/>
        <v>0</v>
      </c>
    </row>
    <row r="97" spans="1:9" x14ac:dyDescent="0.25">
      <c r="A97" s="70" t="s">
        <v>4072</v>
      </c>
      <c r="B97" s="70" t="s">
        <v>3489</v>
      </c>
      <c r="C97" s="70" t="s">
        <v>3490</v>
      </c>
      <c r="D97" s="71">
        <f>'Soupis dodávek a prací'!J2850</f>
        <v>0</v>
      </c>
      <c r="E97" s="71">
        <f>'Soupis dodávek a prací'!K2850</f>
        <v>0</v>
      </c>
      <c r="F97" s="71">
        <f>'Soupis dodávek a prací'!L2850</f>
        <v>0</v>
      </c>
      <c r="G97" s="71">
        <f>'Soupis dodávek a prací'!O2850</f>
        <v>0</v>
      </c>
      <c r="H97" s="32" t="s">
        <v>4224</v>
      </c>
      <c r="I97" s="23">
        <f t="shared" si="2"/>
        <v>0</v>
      </c>
    </row>
    <row r="98" spans="1:9" x14ac:dyDescent="0.25">
      <c r="E98" s="24" t="s">
        <v>4216</v>
      </c>
      <c r="F98" s="25">
        <f>SUM(I11:I97)</f>
        <v>0</v>
      </c>
    </row>
  </sheetData>
  <sheetProtection algorithmName="SHA-512" hashValue="wpKBHdkszPjarU9NvtjBcBdqoBcip1LeYcXbeFsWiaTQJO4I05kKyznosLBjxVm4olZrwSm4R6AwOoezxTuHlw==" saltValue="yaY8y08lJ2zJduydl9k8fA==" spinCount="100000" sheet="1" objects="1" scenarios="1"/>
  <mergeCells count="25">
    <mergeCell ref="G2:G3"/>
    <mergeCell ref="G4:G5"/>
    <mergeCell ref="G6:G7"/>
    <mergeCell ref="G8:G9"/>
    <mergeCell ref="C8:C9"/>
    <mergeCell ref="E2:E3"/>
    <mergeCell ref="E4:E5"/>
    <mergeCell ref="E6:E7"/>
    <mergeCell ref="E8:E9"/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855"/>
  <sheetViews>
    <sheetView zoomScaleNormal="100" workbookViewId="0">
      <pane ySplit="11" topLeftCell="A12" activePane="bottomLeft" state="frozen"/>
      <selection pane="bottomLeft" activeCell="I21" sqref="I21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14" t="s">
        <v>1</v>
      </c>
      <c r="B2" s="115"/>
      <c r="C2" s="115"/>
      <c r="D2" s="125" t="s">
        <v>2</v>
      </c>
      <c r="E2" s="126"/>
      <c r="F2" s="115" t="s">
        <v>3</v>
      </c>
      <c r="G2" s="115"/>
      <c r="H2" s="171" t="s">
        <v>4</v>
      </c>
      <c r="I2" s="119" t="s">
        <v>5</v>
      </c>
      <c r="J2" s="119" t="s">
        <v>6</v>
      </c>
      <c r="K2" s="115"/>
      <c r="L2" s="115"/>
      <c r="M2" s="115"/>
      <c r="N2" s="115"/>
      <c r="O2" s="115"/>
      <c r="P2" s="185"/>
    </row>
    <row r="3" spans="1:76" x14ac:dyDescent="0.25">
      <c r="A3" s="116"/>
      <c r="B3" s="117"/>
      <c r="C3" s="117"/>
      <c r="D3" s="127"/>
      <c r="E3" s="127"/>
      <c r="F3" s="117"/>
      <c r="G3" s="117"/>
      <c r="H3" s="172"/>
      <c r="I3" s="117"/>
      <c r="J3" s="117"/>
      <c r="K3" s="117"/>
      <c r="L3" s="117"/>
      <c r="M3" s="117"/>
      <c r="N3" s="117"/>
      <c r="O3" s="117"/>
      <c r="P3" s="124"/>
    </row>
    <row r="4" spans="1:76" x14ac:dyDescent="0.25">
      <c r="A4" s="118" t="s">
        <v>7</v>
      </c>
      <c r="B4" s="117"/>
      <c r="C4" s="117"/>
      <c r="D4" s="120" t="s">
        <v>4</v>
      </c>
      <c r="E4" s="117"/>
      <c r="F4" s="117" t="s">
        <v>8</v>
      </c>
      <c r="G4" s="117"/>
      <c r="H4" s="172" t="s">
        <v>4</v>
      </c>
      <c r="I4" s="120" t="s">
        <v>9</v>
      </c>
      <c r="J4" s="120" t="s">
        <v>10</v>
      </c>
      <c r="K4" s="117"/>
      <c r="L4" s="117"/>
      <c r="M4" s="117"/>
      <c r="N4" s="117"/>
      <c r="O4" s="117"/>
      <c r="P4" s="124"/>
    </row>
    <row r="5" spans="1:76" x14ac:dyDescent="0.25">
      <c r="A5" s="116"/>
      <c r="B5" s="117"/>
      <c r="C5" s="117"/>
      <c r="D5" s="117"/>
      <c r="E5" s="117"/>
      <c r="F5" s="117"/>
      <c r="G5" s="117"/>
      <c r="H5" s="172"/>
      <c r="I5" s="117"/>
      <c r="J5" s="117"/>
      <c r="K5" s="117"/>
      <c r="L5" s="117"/>
      <c r="M5" s="117"/>
      <c r="N5" s="117"/>
      <c r="O5" s="117"/>
      <c r="P5" s="124"/>
    </row>
    <row r="6" spans="1:76" x14ac:dyDescent="0.25">
      <c r="A6" s="118" t="s">
        <v>11</v>
      </c>
      <c r="B6" s="117"/>
      <c r="C6" s="117"/>
      <c r="D6" s="120" t="s">
        <v>12</v>
      </c>
      <c r="E6" s="117"/>
      <c r="F6" s="117" t="s">
        <v>13</v>
      </c>
      <c r="G6" s="117"/>
      <c r="H6" s="172" t="s">
        <v>4</v>
      </c>
      <c r="I6" s="120" t="s">
        <v>14</v>
      </c>
      <c r="J6" s="186" t="s">
        <v>15</v>
      </c>
      <c r="K6" s="172"/>
      <c r="L6" s="172"/>
      <c r="M6" s="172"/>
      <c r="N6" s="172"/>
      <c r="O6" s="172"/>
      <c r="P6" s="122"/>
    </row>
    <row r="7" spans="1:76" x14ac:dyDescent="0.25">
      <c r="A7" s="116"/>
      <c r="B7" s="117"/>
      <c r="C7" s="117"/>
      <c r="D7" s="117"/>
      <c r="E7" s="117"/>
      <c r="F7" s="117"/>
      <c r="G7" s="117"/>
      <c r="H7" s="172"/>
      <c r="I7" s="117"/>
      <c r="J7" s="172"/>
      <c r="K7" s="172"/>
      <c r="L7" s="172"/>
      <c r="M7" s="172"/>
      <c r="N7" s="172"/>
      <c r="O7" s="172"/>
      <c r="P7" s="122"/>
    </row>
    <row r="8" spans="1:76" x14ac:dyDescent="0.25">
      <c r="A8" s="118" t="s">
        <v>16</v>
      </c>
      <c r="B8" s="117"/>
      <c r="C8" s="117"/>
      <c r="D8" s="186" t="s">
        <v>4</v>
      </c>
      <c r="E8" s="172"/>
      <c r="F8" s="117" t="s">
        <v>17</v>
      </c>
      <c r="G8" s="117"/>
      <c r="H8" s="190">
        <v>45389</v>
      </c>
      <c r="I8" s="120" t="s">
        <v>19</v>
      </c>
      <c r="J8" s="172" t="s">
        <v>20</v>
      </c>
      <c r="K8" s="172"/>
      <c r="L8" s="172"/>
      <c r="M8" s="172"/>
      <c r="N8" s="172"/>
      <c r="O8" s="172"/>
      <c r="P8" s="122"/>
    </row>
    <row r="9" spans="1:76" x14ac:dyDescent="0.25">
      <c r="A9" s="167"/>
      <c r="B9" s="168"/>
      <c r="C9" s="168"/>
      <c r="D9" s="173"/>
      <c r="E9" s="173"/>
      <c r="F9" s="168"/>
      <c r="G9" s="168"/>
      <c r="H9" s="173"/>
      <c r="I9" s="168"/>
      <c r="J9" s="173"/>
      <c r="K9" s="173"/>
      <c r="L9" s="173"/>
      <c r="M9" s="173"/>
      <c r="N9" s="173"/>
      <c r="O9" s="173"/>
      <c r="P9" s="187"/>
    </row>
    <row r="10" spans="1:76" x14ac:dyDescent="0.25">
      <c r="A10" s="3" t="s">
        <v>4281</v>
      </c>
      <c r="B10" s="4" t="s">
        <v>21</v>
      </c>
      <c r="C10" s="4" t="s">
        <v>22</v>
      </c>
      <c r="D10" s="188" t="s">
        <v>23</v>
      </c>
      <c r="E10" s="189"/>
      <c r="F10" s="4" t="s">
        <v>24</v>
      </c>
      <c r="G10" s="5" t="s">
        <v>25</v>
      </c>
      <c r="H10" s="6" t="s">
        <v>26</v>
      </c>
      <c r="I10" s="7" t="s">
        <v>27</v>
      </c>
      <c r="J10" s="193" t="s">
        <v>28</v>
      </c>
      <c r="K10" s="194"/>
      <c r="L10" s="195"/>
      <c r="M10" s="8" t="s">
        <v>28</v>
      </c>
      <c r="N10" s="181" t="s">
        <v>29</v>
      </c>
      <c r="O10" s="182"/>
      <c r="P10" s="9" t="s">
        <v>30</v>
      </c>
      <c r="BK10" s="10" t="s">
        <v>31</v>
      </c>
      <c r="BL10" s="11" t="s">
        <v>32</v>
      </c>
      <c r="BW10" s="11" t="s">
        <v>33</v>
      </c>
    </row>
    <row r="11" spans="1:76" ht="15.75" thickBot="1" x14ac:dyDescent="0.3">
      <c r="A11" s="12" t="s">
        <v>4</v>
      </c>
      <c r="B11" s="13" t="s">
        <v>4</v>
      </c>
      <c r="C11" s="13" t="s">
        <v>4</v>
      </c>
      <c r="D11" s="191" t="s">
        <v>34</v>
      </c>
      <c r="E11" s="192"/>
      <c r="F11" s="13" t="s">
        <v>4</v>
      </c>
      <c r="G11" s="13" t="s">
        <v>4</v>
      </c>
      <c r="H11" s="14" t="s">
        <v>35</v>
      </c>
      <c r="I11" s="15" t="s">
        <v>4</v>
      </c>
      <c r="J11" s="16" t="s">
        <v>36</v>
      </c>
      <c r="K11" s="17" t="s">
        <v>37</v>
      </c>
      <c r="L11" s="18" t="s">
        <v>38</v>
      </c>
      <c r="M11" s="19" t="s">
        <v>39</v>
      </c>
      <c r="N11" s="20" t="s">
        <v>40</v>
      </c>
      <c r="O11" s="21" t="s">
        <v>38</v>
      </c>
      <c r="P11" s="22" t="s">
        <v>41</v>
      </c>
      <c r="Z11" s="10" t="s">
        <v>42</v>
      </c>
      <c r="AA11" s="10" t="s">
        <v>43</v>
      </c>
      <c r="AB11" s="10" t="s">
        <v>44</v>
      </c>
      <c r="AC11" s="10" t="s">
        <v>45</v>
      </c>
      <c r="AD11" s="10" t="s">
        <v>46</v>
      </c>
      <c r="AE11" s="10" t="s">
        <v>47</v>
      </c>
      <c r="AF11" s="10" t="s">
        <v>48</v>
      </c>
      <c r="AG11" s="10" t="s">
        <v>49</v>
      </c>
      <c r="AH11" s="10" t="s">
        <v>50</v>
      </c>
      <c r="BH11" s="10" t="s">
        <v>51</v>
      </c>
      <c r="BI11" s="10" t="s">
        <v>52</v>
      </c>
      <c r="BJ11" s="10" t="s">
        <v>53</v>
      </c>
    </row>
    <row r="12" spans="1:76" s="81" customFormat="1" x14ac:dyDescent="0.25">
      <c r="A12" s="107" t="s">
        <v>54</v>
      </c>
      <c r="B12" s="77" t="s">
        <v>55</v>
      </c>
      <c r="C12" s="77" t="s">
        <v>54</v>
      </c>
      <c r="D12" s="183" t="s">
        <v>2</v>
      </c>
      <c r="E12" s="183"/>
      <c r="F12" s="78" t="s">
        <v>4</v>
      </c>
      <c r="G12" s="78" t="s">
        <v>4</v>
      </c>
      <c r="H12" s="78" t="s">
        <v>4</v>
      </c>
      <c r="I12" s="78" t="s">
        <v>4</v>
      </c>
      <c r="J12" s="79">
        <f>J14+J75+J90+J111+J120+J127+J209+J361+J405+J468+J657+J664+J677+J684+J690+J861+J998+J1105+J1133+J1161+J1170+J1175+J1178+J1269+J1387+J1553+J1575+J1592+J1604+J1612+J1621+J1635+J1642+J1650+J1674+J1701+J1730+J1772+J1782+J1818+J1894+J2000+J2033+J2103+J2150+J2226+J2230+J2235+J2239+J2359+J2537</f>
        <v>0</v>
      </c>
      <c r="K12" s="79">
        <f>K14+K75+K90+K111+K120+K127+K209+K361+K405+K468+K657+K664+K677+K684+K690+K861+K998+K1105+K1133+K1161+K1170+K1175+K1178+K1269+K1387+K1553+K1575+K1592+K1604+K1612+K1621+K1635+K1642+K1650+K1674+K1701+K1730+K1772+K1782+K1818+K1894+K2000+K2033+K2103+K2150+K2226+K2230+K2235+K2239+K2359+K2537</f>
        <v>0</v>
      </c>
      <c r="L12" s="79">
        <f>L14+L75+L90+L111+L120+L127+L209+L361+L405+L468+L657+L664+L677+L684+L690+L861+L998+L1105+L1133+L1161+L1170+L1175+L1178+L1269+L1387+L1553+L1575+L1592+L1604+L1612+L1621+L1635+L1642+L1650+L1674+L1701+L1730+L1772+L1782+L1818+L1894+L2000+L2033+L2103+L2150+L2226+L2230+L2235+L2239+L2359+L2537</f>
        <v>0</v>
      </c>
      <c r="M12" s="79">
        <f>M14+M75+M90+M111+M120+M127+M209+M361+M405+M468+M657+M664+M677+M684+M690+M861+M998+M1105+M1133+M1161+M1170+M1175+M1178+M1269+M1387+M1553+M1575+M1592+M1604+M1612+M1621+M1635+M1642+M1650+M1674+M1701+M1730+M1772+M1782+M1818+M1894+M2000+M2033+M2103+M2150+M2226+M2230+M2235+M2239+M2359+M2537</f>
        <v>0</v>
      </c>
      <c r="N12" s="80" t="s">
        <v>54</v>
      </c>
      <c r="O12" s="79">
        <f>O14+O75+O90+O111+O120+O127+O209+O361+O405+O468+O657+O664+O677+O684+O690+O861+O998+O1105+O1133+O1161+O1170+O1175+O1178+O1269+O1387+O1553+O1575+O1592+O1604+O1612+O1621+O1635+O1642+O1650+O1674+O1701+O1730+O1772+O1782+O1818+O1894+O2000+O2033+O2103+O2150+O2226+O2230+O2235+O2239+O2359+O2537</f>
        <v>18205.188244381097</v>
      </c>
      <c r="P12" s="80" t="s">
        <v>54</v>
      </c>
    </row>
    <row r="13" spans="1:76" s="81" customFormat="1" x14ac:dyDescent="0.25">
      <c r="A13" s="108" t="s">
        <v>54</v>
      </c>
      <c r="B13" s="73" t="s">
        <v>55</v>
      </c>
      <c r="C13" s="73" t="s">
        <v>54</v>
      </c>
      <c r="D13" s="184" t="s">
        <v>56</v>
      </c>
      <c r="E13" s="184"/>
      <c r="F13" s="82" t="s">
        <v>4</v>
      </c>
      <c r="G13" s="82" t="s">
        <v>4</v>
      </c>
      <c r="H13" s="82" t="s">
        <v>4</v>
      </c>
      <c r="I13" s="82" t="s">
        <v>4</v>
      </c>
      <c r="J13" s="83">
        <f>J14+J75+J90+J111+J120+J127+J209+J361+J405+J468+J657+J664+J677+J684+J690+J861+J998+J1105+J1133+J1161+J1170+J1175</f>
        <v>0</v>
      </c>
      <c r="K13" s="83">
        <f>K14+K75+K90+K111+K120+K127+K209+K361+K405+K468+K657+K664+K677+K684+K690+K861+K998+K1105+K1133+K1161+K1170+K1175</f>
        <v>0</v>
      </c>
      <c r="L13" s="83">
        <f>L14+L75+L90+L111+L120+L127+L209+L361+L405+L468+L657+L664+L677+L684+L690+L861+L998+L1105+L1133+L1161+L1170+L1175</f>
        <v>0</v>
      </c>
      <c r="M13" s="83">
        <f>M14+M75+M90+M111+M120+M127+M209+M361+M405+M468+M657+M664+M677+M684+M690+M861+M998+M1105+M1133+M1161+M1170+M1175</f>
        <v>0</v>
      </c>
      <c r="N13" s="84" t="s">
        <v>54</v>
      </c>
      <c r="O13" s="83">
        <f>O14+O75+O90+O111+O120+O127+O209+O361+O405+O468+O657+O664+O677+O684+O690+O861+O998+O1105+O1133+O1161+O1170+O1175</f>
        <v>3720.6824109089998</v>
      </c>
      <c r="P13" s="84" t="s">
        <v>54</v>
      </c>
    </row>
    <row r="14" spans="1:76" s="81" customFormat="1" x14ac:dyDescent="0.25">
      <c r="A14" s="109" t="s">
        <v>54</v>
      </c>
      <c r="B14" s="74" t="s">
        <v>55</v>
      </c>
      <c r="C14" s="74" t="s">
        <v>57</v>
      </c>
      <c r="D14" s="180" t="s">
        <v>58</v>
      </c>
      <c r="E14" s="180"/>
      <c r="F14" s="85" t="s">
        <v>4</v>
      </c>
      <c r="G14" s="85" t="s">
        <v>4</v>
      </c>
      <c r="H14" s="85" t="s">
        <v>4</v>
      </c>
      <c r="I14" s="85" t="s">
        <v>4</v>
      </c>
      <c r="J14" s="86">
        <f>SUM(J15:J73)</f>
        <v>0</v>
      </c>
      <c r="K14" s="86">
        <f>SUM(K15:K73)</f>
        <v>0</v>
      </c>
      <c r="L14" s="86">
        <f>SUM(L15:L73)</f>
        <v>0</v>
      </c>
      <c r="M14" s="86">
        <f>SUM(M15:M73)</f>
        <v>0</v>
      </c>
      <c r="N14" s="87" t="s">
        <v>54</v>
      </c>
      <c r="O14" s="86">
        <f>SUM(O15:O73)</f>
        <v>0</v>
      </c>
      <c r="P14" s="87" t="s">
        <v>54</v>
      </c>
      <c r="AI14" s="88" t="s">
        <v>55</v>
      </c>
      <c r="AS14" s="89">
        <f>SUM(AJ15:AJ73)</f>
        <v>0</v>
      </c>
      <c r="AT14" s="89">
        <f>SUM(AK15:AK73)</f>
        <v>0</v>
      </c>
      <c r="AU14" s="89">
        <f>SUM(AL15:AL73)</f>
        <v>0</v>
      </c>
    </row>
    <row r="15" spans="1:76" s="81" customFormat="1" x14ac:dyDescent="0.25">
      <c r="A15" s="66" t="s">
        <v>59</v>
      </c>
      <c r="B15" s="72" t="s">
        <v>55</v>
      </c>
      <c r="C15" s="72" t="s">
        <v>60</v>
      </c>
      <c r="D15" s="174" t="s">
        <v>61</v>
      </c>
      <c r="E15" s="174"/>
      <c r="F15" s="72" t="s">
        <v>62</v>
      </c>
      <c r="G15" s="90">
        <v>408.60111999999998</v>
      </c>
      <c r="H15" s="91"/>
      <c r="I15" s="92" t="s">
        <v>63</v>
      </c>
      <c r="J15" s="90">
        <f>G15*AO15</f>
        <v>0</v>
      </c>
      <c r="K15" s="90">
        <f>G15*AP15</f>
        <v>0</v>
      </c>
      <c r="L15" s="90">
        <f>G15*H15</f>
        <v>0</v>
      </c>
      <c r="M15" s="90">
        <f>L15*(1+BW15/100)</f>
        <v>0</v>
      </c>
      <c r="N15" s="90">
        <v>0</v>
      </c>
      <c r="O15" s="90">
        <f>G15*N15</f>
        <v>0</v>
      </c>
      <c r="P15" s="92" t="s">
        <v>64</v>
      </c>
      <c r="Z15" s="93">
        <f>IF(AQ15="5",BJ15,0)</f>
        <v>0</v>
      </c>
      <c r="AB15" s="93">
        <f>IF(AQ15="1",BH15,0)</f>
        <v>0</v>
      </c>
      <c r="AC15" s="93">
        <f>IF(AQ15="1",BI15,0)</f>
        <v>0</v>
      </c>
      <c r="AD15" s="93">
        <f>IF(AQ15="7",BH15,0)</f>
        <v>0</v>
      </c>
      <c r="AE15" s="93">
        <f>IF(AQ15="7",BI15,0)</f>
        <v>0</v>
      </c>
      <c r="AF15" s="93">
        <f>IF(AQ15="2",BH15,0)</f>
        <v>0</v>
      </c>
      <c r="AG15" s="93">
        <f>IF(AQ15="2",BI15,0)</f>
        <v>0</v>
      </c>
      <c r="AH15" s="93">
        <f>IF(AQ15="0",BJ15,0)</f>
        <v>0</v>
      </c>
      <c r="AI15" s="88" t="s">
        <v>55</v>
      </c>
      <c r="AJ15" s="93">
        <f>IF(AN15=0,L15,0)</f>
        <v>0</v>
      </c>
      <c r="AK15" s="93">
        <f>IF(AN15=12,L15,0)</f>
        <v>0</v>
      </c>
      <c r="AL15" s="93">
        <f>IF(AN15=21,L15,0)</f>
        <v>0</v>
      </c>
      <c r="AN15" s="93">
        <v>21</v>
      </c>
      <c r="AO15" s="93">
        <f>H15*0</f>
        <v>0</v>
      </c>
      <c r="AP15" s="93">
        <f>H15*(1-0)</f>
        <v>0</v>
      </c>
      <c r="AQ15" s="94" t="s">
        <v>59</v>
      </c>
      <c r="AV15" s="93">
        <f>AW15+AX15</f>
        <v>0</v>
      </c>
      <c r="AW15" s="93">
        <f>G15*AO15</f>
        <v>0</v>
      </c>
      <c r="AX15" s="93">
        <f>G15*AP15</f>
        <v>0</v>
      </c>
      <c r="AY15" s="94" t="s">
        <v>65</v>
      </c>
      <c r="AZ15" s="94" t="s">
        <v>66</v>
      </c>
      <c r="BA15" s="88" t="s">
        <v>67</v>
      </c>
      <c r="BC15" s="93">
        <f>AW15+AX15</f>
        <v>0</v>
      </c>
      <c r="BD15" s="93">
        <f>H15/(100-BE15)*100</f>
        <v>0</v>
      </c>
      <c r="BE15" s="93">
        <v>0</v>
      </c>
      <c r="BF15" s="93">
        <f>O15</f>
        <v>0</v>
      </c>
      <c r="BH15" s="93">
        <f>G15*AO15</f>
        <v>0</v>
      </c>
      <c r="BI15" s="93">
        <f>G15*AP15</f>
        <v>0</v>
      </c>
      <c r="BJ15" s="93">
        <f>G15*H15</f>
        <v>0</v>
      </c>
      <c r="BK15" s="93"/>
      <c r="BL15" s="93">
        <v>13</v>
      </c>
      <c r="BW15" s="93" t="str">
        <f>I15</f>
        <v>21</v>
      </c>
      <c r="BX15" s="2" t="s">
        <v>61</v>
      </c>
    </row>
    <row r="16" spans="1:76" s="81" customFormat="1" x14ac:dyDescent="0.25">
      <c r="A16" s="110"/>
      <c r="B16" s="95"/>
      <c r="C16" s="95"/>
      <c r="D16" s="76" t="s">
        <v>54</v>
      </c>
      <c r="E16" s="76" t="s">
        <v>68</v>
      </c>
      <c r="F16" s="95"/>
      <c r="G16" s="96">
        <v>0</v>
      </c>
      <c r="H16" s="97"/>
      <c r="I16" s="95"/>
      <c r="J16" s="95"/>
      <c r="K16" s="95"/>
      <c r="L16" s="95"/>
      <c r="M16" s="95"/>
      <c r="N16" s="95"/>
      <c r="O16" s="95"/>
      <c r="P16" s="95"/>
    </row>
    <row r="17" spans="1:16" s="81" customFormat="1" x14ac:dyDescent="0.25">
      <c r="A17" s="110"/>
      <c r="B17" s="95"/>
      <c r="C17" s="95"/>
      <c r="D17" s="76" t="s">
        <v>69</v>
      </c>
      <c r="E17" s="76" t="s">
        <v>54</v>
      </c>
      <c r="F17" s="95"/>
      <c r="G17" s="96">
        <v>9.5220000000000002</v>
      </c>
      <c r="H17" s="97"/>
      <c r="I17" s="95"/>
      <c r="J17" s="95"/>
      <c r="K17" s="95"/>
      <c r="L17" s="95"/>
      <c r="M17" s="95"/>
      <c r="N17" s="95"/>
      <c r="O17" s="95"/>
      <c r="P17" s="95"/>
    </row>
    <row r="18" spans="1:16" s="81" customFormat="1" x14ac:dyDescent="0.25">
      <c r="A18" s="110"/>
      <c r="B18" s="95"/>
      <c r="C18" s="95"/>
      <c r="D18" s="76" t="s">
        <v>70</v>
      </c>
      <c r="E18" s="76" t="s">
        <v>54</v>
      </c>
      <c r="F18" s="95"/>
      <c r="G18" s="96">
        <v>0.67620000000000002</v>
      </c>
      <c r="H18" s="97"/>
      <c r="I18" s="95"/>
      <c r="J18" s="95"/>
      <c r="K18" s="95"/>
      <c r="L18" s="95"/>
      <c r="M18" s="95"/>
      <c r="N18" s="95"/>
      <c r="O18" s="95"/>
      <c r="P18" s="95"/>
    </row>
    <row r="19" spans="1:16" s="81" customFormat="1" x14ac:dyDescent="0.25">
      <c r="A19" s="110"/>
      <c r="B19" s="95"/>
      <c r="C19" s="95"/>
      <c r="D19" s="76" t="s">
        <v>71</v>
      </c>
      <c r="E19" s="76" t="s">
        <v>54</v>
      </c>
      <c r="F19" s="95"/>
      <c r="G19" s="96">
        <v>0.87875000000000003</v>
      </c>
      <c r="H19" s="97"/>
      <c r="I19" s="95"/>
      <c r="J19" s="95"/>
      <c r="K19" s="95"/>
      <c r="L19" s="95"/>
      <c r="M19" s="95"/>
      <c r="N19" s="95"/>
      <c r="O19" s="95"/>
      <c r="P19" s="95"/>
    </row>
    <row r="20" spans="1:16" s="81" customFormat="1" x14ac:dyDescent="0.25">
      <c r="A20" s="110"/>
      <c r="B20" s="95"/>
      <c r="C20" s="95"/>
      <c r="D20" s="76" t="s">
        <v>72</v>
      </c>
      <c r="E20" s="76" t="s">
        <v>54</v>
      </c>
      <c r="F20" s="95"/>
      <c r="G20" s="96">
        <v>3.6</v>
      </c>
      <c r="H20" s="97"/>
      <c r="I20" s="95"/>
      <c r="J20" s="95"/>
      <c r="K20" s="95"/>
      <c r="L20" s="95"/>
      <c r="M20" s="95"/>
      <c r="N20" s="95"/>
      <c r="O20" s="95"/>
      <c r="P20" s="95"/>
    </row>
    <row r="21" spans="1:16" s="81" customFormat="1" x14ac:dyDescent="0.25">
      <c r="A21" s="110"/>
      <c r="B21" s="95"/>
      <c r="C21" s="95"/>
      <c r="D21" s="76" t="s">
        <v>73</v>
      </c>
      <c r="E21" s="76" t="s">
        <v>54</v>
      </c>
      <c r="F21" s="95"/>
      <c r="G21" s="96">
        <v>31.740659999999998</v>
      </c>
      <c r="H21" s="97"/>
      <c r="I21" s="95"/>
      <c r="J21" s="95"/>
      <c r="K21" s="95"/>
      <c r="L21" s="95"/>
      <c r="M21" s="95"/>
      <c r="N21" s="95"/>
      <c r="O21" s="95"/>
      <c r="P21" s="95"/>
    </row>
    <row r="22" spans="1:16" s="81" customFormat="1" x14ac:dyDescent="0.25">
      <c r="A22" s="110"/>
      <c r="B22" s="95"/>
      <c r="C22" s="95"/>
      <c r="D22" s="76" t="s">
        <v>74</v>
      </c>
      <c r="E22" s="76" t="s">
        <v>54</v>
      </c>
      <c r="F22" s="95"/>
      <c r="G22" s="96">
        <v>6.2979000000000003</v>
      </c>
      <c r="H22" s="97"/>
      <c r="I22" s="95"/>
      <c r="J22" s="95"/>
      <c r="K22" s="95"/>
      <c r="L22" s="95"/>
      <c r="M22" s="95"/>
      <c r="N22" s="95"/>
      <c r="O22" s="95"/>
      <c r="P22" s="95"/>
    </row>
    <row r="23" spans="1:16" s="81" customFormat="1" x14ac:dyDescent="0.25">
      <c r="A23" s="110"/>
      <c r="B23" s="95"/>
      <c r="C23" s="95"/>
      <c r="D23" s="76" t="s">
        <v>75</v>
      </c>
      <c r="E23" s="76" t="s">
        <v>54</v>
      </c>
      <c r="F23" s="95"/>
      <c r="G23" s="96">
        <v>2.89114</v>
      </c>
      <c r="H23" s="97"/>
      <c r="I23" s="95"/>
      <c r="J23" s="95"/>
      <c r="K23" s="95"/>
      <c r="L23" s="95"/>
      <c r="M23" s="95"/>
      <c r="N23" s="95"/>
      <c r="O23" s="95"/>
      <c r="P23" s="95"/>
    </row>
    <row r="24" spans="1:16" s="81" customFormat="1" x14ac:dyDescent="0.25">
      <c r="A24" s="110"/>
      <c r="B24" s="95"/>
      <c r="C24" s="95"/>
      <c r="D24" s="76" t="s">
        <v>76</v>
      </c>
      <c r="E24" s="76" t="s">
        <v>54</v>
      </c>
      <c r="F24" s="95"/>
      <c r="G24" s="96">
        <v>4.5407999999999999</v>
      </c>
      <c r="H24" s="97"/>
      <c r="I24" s="95"/>
      <c r="J24" s="95"/>
      <c r="K24" s="95"/>
      <c r="L24" s="95"/>
      <c r="M24" s="95"/>
      <c r="N24" s="95"/>
      <c r="O24" s="95"/>
      <c r="P24" s="95"/>
    </row>
    <row r="25" spans="1:16" s="81" customFormat="1" x14ac:dyDescent="0.25">
      <c r="A25" s="110"/>
      <c r="B25" s="95"/>
      <c r="C25" s="95"/>
      <c r="D25" s="76" t="s">
        <v>77</v>
      </c>
      <c r="E25" s="76" t="s">
        <v>54</v>
      </c>
      <c r="F25" s="95"/>
      <c r="G25" s="96">
        <v>11.0528</v>
      </c>
      <c r="H25" s="97"/>
      <c r="I25" s="95"/>
      <c r="J25" s="95"/>
      <c r="K25" s="95"/>
      <c r="L25" s="95"/>
      <c r="M25" s="95"/>
      <c r="N25" s="95"/>
      <c r="O25" s="95"/>
      <c r="P25" s="95"/>
    </row>
    <row r="26" spans="1:16" s="81" customFormat="1" x14ac:dyDescent="0.25">
      <c r="A26" s="110"/>
      <c r="B26" s="95"/>
      <c r="C26" s="95"/>
      <c r="D26" s="76" t="s">
        <v>78</v>
      </c>
      <c r="E26" s="76" t="s">
        <v>54</v>
      </c>
      <c r="F26" s="95"/>
      <c r="G26" s="96">
        <v>5.0890500000000003</v>
      </c>
      <c r="H26" s="97"/>
      <c r="I26" s="95"/>
      <c r="J26" s="95"/>
      <c r="K26" s="95"/>
      <c r="L26" s="95"/>
      <c r="M26" s="95"/>
      <c r="N26" s="95"/>
      <c r="O26" s="95"/>
      <c r="P26" s="95"/>
    </row>
    <row r="27" spans="1:16" s="81" customFormat="1" x14ac:dyDescent="0.25">
      <c r="A27" s="110"/>
      <c r="B27" s="95"/>
      <c r="C27" s="95"/>
      <c r="D27" s="76" t="s">
        <v>79</v>
      </c>
      <c r="E27" s="76" t="s">
        <v>54</v>
      </c>
      <c r="F27" s="95"/>
      <c r="G27" s="96">
        <v>1.4189400000000001</v>
      </c>
      <c r="H27" s="97"/>
      <c r="I27" s="95"/>
      <c r="J27" s="95"/>
      <c r="K27" s="95"/>
      <c r="L27" s="95"/>
      <c r="M27" s="95"/>
      <c r="N27" s="95"/>
      <c r="O27" s="95"/>
      <c r="P27" s="95"/>
    </row>
    <row r="28" spans="1:16" s="81" customFormat="1" x14ac:dyDescent="0.25">
      <c r="A28" s="110"/>
      <c r="B28" s="95"/>
      <c r="C28" s="95"/>
      <c r="D28" s="76" t="s">
        <v>80</v>
      </c>
      <c r="E28" s="76" t="s">
        <v>54</v>
      </c>
      <c r="F28" s="95"/>
      <c r="G28" s="96">
        <v>1.1172</v>
      </c>
      <c r="H28" s="97"/>
      <c r="I28" s="95"/>
      <c r="J28" s="95"/>
      <c r="K28" s="95"/>
      <c r="L28" s="95"/>
      <c r="M28" s="95"/>
      <c r="N28" s="95"/>
      <c r="O28" s="95"/>
      <c r="P28" s="95"/>
    </row>
    <row r="29" spans="1:16" s="81" customFormat="1" ht="25.5" x14ac:dyDescent="0.25">
      <c r="A29" s="110"/>
      <c r="B29" s="95"/>
      <c r="C29" s="95"/>
      <c r="D29" s="76" t="s">
        <v>81</v>
      </c>
      <c r="E29" s="76" t="s">
        <v>54</v>
      </c>
      <c r="F29" s="95"/>
      <c r="G29" s="96">
        <v>12.4315</v>
      </c>
      <c r="H29" s="97"/>
      <c r="I29" s="95"/>
      <c r="J29" s="95"/>
      <c r="K29" s="95"/>
      <c r="L29" s="95"/>
      <c r="M29" s="95"/>
      <c r="N29" s="95"/>
      <c r="O29" s="95"/>
      <c r="P29" s="95"/>
    </row>
    <row r="30" spans="1:16" s="81" customFormat="1" ht="63.75" x14ac:dyDescent="0.25">
      <c r="A30" s="110"/>
      <c r="B30" s="95"/>
      <c r="C30" s="95"/>
      <c r="D30" s="76" t="s">
        <v>82</v>
      </c>
      <c r="E30" s="76" t="s">
        <v>54</v>
      </c>
      <c r="F30" s="95"/>
      <c r="G30" s="96">
        <v>35.503630000000001</v>
      </c>
      <c r="H30" s="97"/>
      <c r="I30" s="95"/>
      <c r="J30" s="95"/>
      <c r="K30" s="95"/>
      <c r="L30" s="95"/>
      <c r="M30" s="95"/>
      <c r="N30" s="95"/>
      <c r="O30" s="95"/>
      <c r="P30" s="95"/>
    </row>
    <row r="31" spans="1:16" s="81" customFormat="1" ht="25.5" x14ac:dyDescent="0.25">
      <c r="A31" s="110"/>
      <c r="B31" s="95"/>
      <c r="C31" s="95"/>
      <c r="D31" s="76" t="s">
        <v>83</v>
      </c>
      <c r="E31" s="76" t="s">
        <v>54</v>
      </c>
      <c r="F31" s="95"/>
      <c r="G31" s="96">
        <v>16.251000000000001</v>
      </c>
      <c r="H31" s="97"/>
      <c r="I31" s="95"/>
      <c r="J31" s="95"/>
      <c r="K31" s="95"/>
      <c r="L31" s="95"/>
      <c r="M31" s="95"/>
      <c r="N31" s="95"/>
      <c r="O31" s="95"/>
      <c r="P31" s="95"/>
    </row>
    <row r="32" spans="1:16" s="81" customFormat="1" x14ac:dyDescent="0.25">
      <c r="A32" s="110"/>
      <c r="B32" s="95"/>
      <c r="C32" s="95"/>
      <c r="D32" s="76" t="s">
        <v>84</v>
      </c>
      <c r="E32" s="76" t="s">
        <v>54</v>
      </c>
      <c r="F32" s="95"/>
      <c r="G32" s="96">
        <v>1.095</v>
      </c>
      <c r="H32" s="97"/>
      <c r="I32" s="95"/>
      <c r="J32" s="95"/>
      <c r="K32" s="95"/>
      <c r="L32" s="95"/>
      <c r="M32" s="95"/>
      <c r="N32" s="95"/>
      <c r="O32" s="95"/>
      <c r="P32" s="95"/>
    </row>
    <row r="33" spans="1:16" s="81" customFormat="1" x14ac:dyDescent="0.25">
      <c r="A33" s="110"/>
      <c r="B33" s="95"/>
      <c r="C33" s="95"/>
      <c r="D33" s="76" t="s">
        <v>85</v>
      </c>
      <c r="E33" s="76" t="s">
        <v>54</v>
      </c>
      <c r="F33" s="95"/>
      <c r="G33" s="96">
        <v>0.2</v>
      </c>
      <c r="H33" s="97"/>
      <c r="I33" s="95"/>
      <c r="J33" s="95"/>
      <c r="K33" s="95"/>
      <c r="L33" s="95"/>
      <c r="M33" s="95"/>
      <c r="N33" s="95"/>
      <c r="O33" s="95"/>
      <c r="P33" s="95"/>
    </row>
    <row r="34" spans="1:16" s="81" customFormat="1" x14ac:dyDescent="0.25">
      <c r="A34" s="110"/>
      <c r="B34" s="95"/>
      <c r="C34" s="95"/>
      <c r="D34" s="76" t="s">
        <v>54</v>
      </c>
      <c r="E34" s="76" t="s">
        <v>86</v>
      </c>
      <c r="F34" s="95"/>
      <c r="G34" s="96">
        <v>0</v>
      </c>
      <c r="H34" s="97"/>
      <c r="I34" s="95"/>
      <c r="J34" s="95"/>
      <c r="K34" s="95"/>
      <c r="L34" s="95"/>
      <c r="M34" s="95"/>
      <c r="N34" s="95"/>
      <c r="O34" s="95"/>
      <c r="P34" s="95"/>
    </row>
    <row r="35" spans="1:16" s="81" customFormat="1" x14ac:dyDescent="0.25">
      <c r="A35" s="110"/>
      <c r="B35" s="95"/>
      <c r="C35" s="95"/>
      <c r="D35" s="76" t="s">
        <v>54</v>
      </c>
      <c r="E35" s="76" t="s">
        <v>87</v>
      </c>
      <c r="F35" s="95"/>
      <c r="G35" s="96">
        <v>0</v>
      </c>
      <c r="H35" s="97"/>
      <c r="I35" s="95"/>
      <c r="J35" s="95"/>
      <c r="K35" s="95"/>
      <c r="L35" s="95"/>
      <c r="M35" s="95"/>
      <c r="N35" s="95"/>
      <c r="O35" s="95"/>
      <c r="P35" s="95"/>
    </row>
    <row r="36" spans="1:16" s="81" customFormat="1" x14ac:dyDescent="0.25">
      <c r="A36" s="110"/>
      <c r="B36" s="95"/>
      <c r="C36" s="95"/>
      <c r="D36" s="76" t="s">
        <v>88</v>
      </c>
      <c r="E36" s="76" t="s">
        <v>54</v>
      </c>
      <c r="F36" s="95"/>
      <c r="G36" s="96">
        <v>0.52900000000000003</v>
      </c>
      <c r="H36" s="97"/>
      <c r="I36" s="95"/>
      <c r="J36" s="95"/>
      <c r="K36" s="95"/>
      <c r="L36" s="95"/>
      <c r="M36" s="95"/>
      <c r="N36" s="95"/>
      <c r="O36" s="95"/>
      <c r="P36" s="95"/>
    </row>
    <row r="37" spans="1:16" s="81" customFormat="1" x14ac:dyDescent="0.25">
      <c r="A37" s="110"/>
      <c r="B37" s="95"/>
      <c r="C37" s="95"/>
      <c r="D37" s="76" t="s">
        <v>89</v>
      </c>
      <c r="E37" s="76" t="s">
        <v>54</v>
      </c>
      <c r="F37" s="95"/>
      <c r="G37" s="96">
        <v>2.9399999999999999E-2</v>
      </c>
      <c r="H37" s="97"/>
      <c r="I37" s="95"/>
      <c r="J37" s="95"/>
      <c r="K37" s="95"/>
      <c r="L37" s="95"/>
      <c r="M37" s="95"/>
      <c r="N37" s="95"/>
      <c r="O37" s="95"/>
      <c r="P37" s="95"/>
    </row>
    <row r="38" spans="1:16" s="81" customFormat="1" x14ac:dyDescent="0.25">
      <c r="A38" s="110"/>
      <c r="B38" s="95"/>
      <c r="C38" s="95"/>
      <c r="D38" s="76" t="s">
        <v>90</v>
      </c>
      <c r="E38" s="76" t="s">
        <v>54</v>
      </c>
      <c r="F38" s="95"/>
      <c r="G38" s="96">
        <v>4.6249999999999999E-2</v>
      </c>
      <c r="H38" s="97"/>
      <c r="I38" s="95"/>
      <c r="J38" s="95"/>
      <c r="K38" s="95"/>
      <c r="L38" s="95"/>
      <c r="M38" s="95"/>
      <c r="N38" s="95"/>
      <c r="O38" s="95"/>
      <c r="P38" s="95"/>
    </row>
    <row r="39" spans="1:16" s="81" customFormat="1" x14ac:dyDescent="0.25">
      <c r="A39" s="110"/>
      <c r="B39" s="95"/>
      <c r="C39" s="95"/>
      <c r="D39" s="76" t="s">
        <v>54</v>
      </c>
      <c r="E39" s="76" t="s">
        <v>91</v>
      </c>
      <c r="F39" s="95"/>
      <c r="G39" s="96">
        <v>0</v>
      </c>
      <c r="H39" s="97"/>
      <c r="I39" s="95"/>
      <c r="J39" s="95"/>
      <c r="K39" s="95"/>
      <c r="L39" s="95"/>
      <c r="M39" s="95"/>
      <c r="N39" s="95"/>
      <c r="O39" s="95"/>
      <c r="P39" s="95"/>
    </row>
    <row r="40" spans="1:16" s="81" customFormat="1" x14ac:dyDescent="0.25">
      <c r="A40" s="110"/>
      <c r="B40" s="95"/>
      <c r="C40" s="95"/>
      <c r="D40" s="76" t="s">
        <v>92</v>
      </c>
      <c r="E40" s="76" t="s">
        <v>54</v>
      </c>
      <c r="F40" s="95"/>
      <c r="G40" s="96">
        <v>1.7633700000000001</v>
      </c>
      <c r="H40" s="97"/>
      <c r="I40" s="95"/>
      <c r="J40" s="95"/>
      <c r="K40" s="95"/>
      <c r="L40" s="95"/>
      <c r="M40" s="95"/>
      <c r="N40" s="95"/>
      <c r="O40" s="95"/>
      <c r="P40" s="95"/>
    </row>
    <row r="41" spans="1:16" s="81" customFormat="1" x14ac:dyDescent="0.25">
      <c r="A41" s="110"/>
      <c r="B41" s="95"/>
      <c r="C41" s="95"/>
      <c r="D41" s="76" t="s">
        <v>93</v>
      </c>
      <c r="E41" s="76" t="s">
        <v>54</v>
      </c>
      <c r="F41" s="95"/>
      <c r="G41" s="96">
        <v>0.78724000000000005</v>
      </c>
      <c r="H41" s="97"/>
      <c r="I41" s="95"/>
      <c r="J41" s="95"/>
      <c r="K41" s="95"/>
      <c r="L41" s="95"/>
      <c r="M41" s="95"/>
      <c r="N41" s="95"/>
      <c r="O41" s="95"/>
      <c r="P41" s="95"/>
    </row>
    <row r="42" spans="1:16" s="81" customFormat="1" x14ac:dyDescent="0.25">
      <c r="A42" s="110"/>
      <c r="B42" s="95"/>
      <c r="C42" s="95"/>
      <c r="D42" s="76" t="s">
        <v>94</v>
      </c>
      <c r="E42" s="76" t="s">
        <v>54</v>
      </c>
      <c r="F42" s="95"/>
      <c r="G42" s="96">
        <v>0.36138999999999999</v>
      </c>
      <c r="H42" s="97"/>
      <c r="I42" s="95"/>
      <c r="J42" s="95"/>
      <c r="K42" s="95"/>
      <c r="L42" s="95"/>
      <c r="M42" s="95"/>
      <c r="N42" s="95"/>
      <c r="O42" s="95"/>
      <c r="P42" s="95"/>
    </row>
    <row r="43" spans="1:16" s="81" customFormat="1" x14ac:dyDescent="0.25">
      <c r="A43" s="110"/>
      <c r="B43" s="95"/>
      <c r="C43" s="95"/>
      <c r="D43" s="76" t="s">
        <v>95</v>
      </c>
      <c r="E43" s="76" t="s">
        <v>54</v>
      </c>
      <c r="F43" s="95"/>
      <c r="G43" s="96">
        <v>0.56759999999999999</v>
      </c>
      <c r="H43" s="97"/>
      <c r="I43" s="95"/>
      <c r="J43" s="95"/>
      <c r="K43" s="95"/>
      <c r="L43" s="95"/>
      <c r="M43" s="95"/>
      <c r="N43" s="95"/>
      <c r="O43" s="95"/>
      <c r="P43" s="95"/>
    </row>
    <row r="44" spans="1:16" s="81" customFormat="1" x14ac:dyDescent="0.25">
      <c r="A44" s="110"/>
      <c r="B44" s="95"/>
      <c r="C44" s="95"/>
      <c r="D44" s="76" t="s">
        <v>96</v>
      </c>
      <c r="E44" s="76" t="s">
        <v>54</v>
      </c>
      <c r="F44" s="95"/>
      <c r="G44" s="96">
        <v>1.3815999999999999</v>
      </c>
      <c r="H44" s="97"/>
      <c r="I44" s="95"/>
      <c r="J44" s="95"/>
      <c r="K44" s="95"/>
      <c r="L44" s="95"/>
      <c r="M44" s="95"/>
      <c r="N44" s="95"/>
      <c r="O44" s="95"/>
      <c r="P44" s="95"/>
    </row>
    <row r="45" spans="1:16" s="81" customFormat="1" x14ac:dyDescent="0.25">
      <c r="A45" s="110"/>
      <c r="B45" s="95"/>
      <c r="C45" s="95"/>
      <c r="D45" s="76" t="s">
        <v>97</v>
      </c>
      <c r="E45" s="76" t="s">
        <v>54</v>
      </c>
      <c r="F45" s="95"/>
      <c r="G45" s="96">
        <v>0.309</v>
      </c>
      <c r="H45" s="97"/>
      <c r="I45" s="95"/>
      <c r="J45" s="95"/>
      <c r="K45" s="95"/>
      <c r="L45" s="95"/>
      <c r="M45" s="95"/>
      <c r="N45" s="95"/>
      <c r="O45" s="95"/>
      <c r="P45" s="95"/>
    </row>
    <row r="46" spans="1:16" s="81" customFormat="1" x14ac:dyDescent="0.25">
      <c r="A46" s="110"/>
      <c r="B46" s="95"/>
      <c r="C46" s="95"/>
      <c r="D46" s="76" t="s">
        <v>98</v>
      </c>
      <c r="E46" s="76" t="s">
        <v>54</v>
      </c>
      <c r="F46" s="95"/>
      <c r="G46" s="96">
        <v>0.13303000000000001</v>
      </c>
      <c r="H46" s="97"/>
      <c r="I46" s="95"/>
      <c r="J46" s="95"/>
      <c r="K46" s="95"/>
      <c r="L46" s="95"/>
      <c r="M46" s="95"/>
      <c r="N46" s="95"/>
      <c r="O46" s="95"/>
      <c r="P46" s="95"/>
    </row>
    <row r="47" spans="1:16" s="81" customFormat="1" x14ac:dyDescent="0.25">
      <c r="A47" s="110"/>
      <c r="B47" s="95"/>
      <c r="C47" s="95"/>
      <c r="D47" s="76" t="s">
        <v>99</v>
      </c>
      <c r="E47" s="76" t="s">
        <v>54</v>
      </c>
      <c r="F47" s="95"/>
      <c r="G47" s="96">
        <v>7.9799999999999996E-2</v>
      </c>
      <c r="H47" s="97"/>
      <c r="I47" s="95"/>
      <c r="J47" s="95"/>
      <c r="K47" s="95"/>
      <c r="L47" s="95"/>
      <c r="M47" s="95"/>
      <c r="N47" s="95"/>
      <c r="O47" s="95"/>
      <c r="P47" s="95"/>
    </row>
    <row r="48" spans="1:16" s="81" customFormat="1" x14ac:dyDescent="0.25">
      <c r="A48" s="110"/>
      <c r="B48" s="95"/>
      <c r="C48" s="95"/>
      <c r="D48" s="76" t="s">
        <v>100</v>
      </c>
      <c r="E48" s="76" t="s">
        <v>54</v>
      </c>
      <c r="F48" s="95"/>
      <c r="G48" s="96">
        <v>1.4768699999999999</v>
      </c>
      <c r="H48" s="97"/>
      <c r="I48" s="95"/>
      <c r="J48" s="95"/>
      <c r="K48" s="95"/>
      <c r="L48" s="95"/>
      <c r="M48" s="95"/>
      <c r="N48" s="95"/>
      <c r="O48" s="95"/>
      <c r="P48" s="95"/>
    </row>
    <row r="49" spans="1:16" s="81" customFormat="1" ht="63.75" x14ac:dyDescent="0.25">
      <c r="A49" s="110"/>
      <c r="B49" s="95"/>
      <c r="C49" s="95"/>
      <c r="D49" s="76" t="s">
        <v>101</v>
      </c>
      <c r="E49" s="76" t="s">
        <v>54</v>
      </c>
      <c r="F49" s="95"/>
      <c r="G49" s="96">
        <v>4.4379499999999998</v>
      </c>
      <c r="H49" s="97"/>
      <c r="I49" s="95"/>
      <c r="J49" s="95"/>
      <c r="K49" s="95"/>
      <c r="L49" s="95"/>
      <c r="M49" s="95"/>
      <c r="N49" s="95"/>
      <c r="O49" s="95"/>
      <c r="P49" s="95"/>
    </row>
    <row r="50" spans="1:16" s="81" customFormat="1" x14ac:dyDescent="0.25">
      <c r="A50" s="110"/>
      <c r="B50" s="95"/>
      <c r="C50" s="95"/>
      <c r="D50" s="76" t="s">
        <v>102</v>
      </c>
      <c r="E50" s="76" t="s">
        <v>103</v>
      </c>
      <c r="F50" s="95"/>
      <c r="G50" s="96">
        <v>1.216</v>
      </c>
      <c r="H50" s="97"/>
      <c r="I50" s="95"/>
      <c r="J50" s="95"/>
      <c r="K50" s="95"/>
      <c r="L50" s="95"/>
      <c r="M50" s="95"/>
      <c r="N50" s="95"/>
      <c r="O50" s="95"/>
      <c r="P50" s="95"/>
    </row>
    <row r="51" spans="1:16" s="81" customFormat="1" ht="25.5" x14ac:dyDescent="0.25">
      <c r="A51" s="110"/>
      <c r="B51" s="95"/>
      <c r="C51" s="95"/>
      <c r="D51" s="76" t="s">
        <v>104</v>
      </c>
      <c r="E51" s="76" t="s">
        <v>54</v>
      </c>
      <c r="F51" s="95"/>
      <c r="G51" s="96">
        <v>2.03138</v>
      </c>
      <c r="H51" s="97"/>
      <c r="I51" s="95"/>
      <c r="J51" s="95"/>
      <c r="K51" s="95"/>
      <c r="L51" s="95"/>
      <c r="M51" s="95"/>
      <c r="N51" s="95"/>
      <c r="O51" s="95"/>
      <c r="P51" s="95"/>
    </row>
    <row r="52" spans="1:16" s="81" customFormat="1" x14ac:dyDescent="0.25">
      <c r="A52" s="110"/>
      <c r="B52" s="95"/>
      <c r="C52" s="95"/>
      <c r="D52" s="76" t="s">
        <v>105</v>
      </c>
      <c r="E52" s="76" t="s">
        <v>54</v>
      </c>
      <c r="F52" s="95"/>
      <c r="G52" s="96">
        <v>15.190200000000001</v>
      </c>
      <c r="H52" s="97"/>
      <c r="I52" s="95"/>
      <c r="J52" s="95"/>
      <c r="K52" s="95"/>
      <c r="L52" s="95"/>
      <c r="M52" s="95"/>
      <c r="N52" s="95"/>
      <c r="O52" s="95"/>
      <c r="P52" s="95"/>
    </row>
    <row r="53" spans="1:16" s="81" customFormat="1" x14ac:dyDescent="0.25">
      <c r="A53" s="110"/>
      <c r="B53" s="95"/>
      <c r="C53" s="95"/>
      <c r="D53" s="76" t="s">
        <v>106</v>
      </c>
      <c r="E53" s="76" t="s">
        <v>54</v>
      </c>
      <c r="F53" s="95"/>
      <c r="G53" s="96">
        <v>10.411</v>
      </c>
      <c r="H53" s="97"/>
      <c r="I53" s="95"/>
      <c r="J53" s="95"/>
      <c r="K53" s="95"/>
      <c r="L53" s="95"/>
      <c r="M53" s="95"/>
      <c r="N53" s="95"/>
      <c r="O53" s="95"/>
      <c r="P53" s="95"/>
    </row>
    <row r="54" spans="1:16" s="81" customFormat="1" x14ac:dyDescent="0.25">
      <c r="A54" s="110"/>
      <c r="B54" s="95"/>
      <c r="C54" s="95"/>
      <c r="D54" s="76" t="s">
        <v>107</v>
      </c>
      <c r="E54" s="76" t="s">
        <v>54</v>
      </c>
      <c r="F54" s="95"/>
      <c r="G54" s="96">
        <v>3.0750000000000002</v>
      </c>
      <c r="H54" s="97"/>
      <c r="I54" s="95"/>
      <c r="J54" s="95"/>
      <c r="K54" s="95"/>
      <c r="L54" s="95"/>
      <c r="M54" s="95"/>
      <c r="N54" s="95"/>
      <c r="O54" s="95"/>
      <c r="P54" s="95"/>
    </row>
    <row r="55" spans="1:16" s="81" customFormat="1" x14ac:dyDescent="0.25">
      <c r="A55" s="110"/>
      <c r="B55" s="95"/>
      <c r="C55" s="95"/>
      <c r="D55" s="76" t="s">
        <v>108</v>
      </c>
      <c r="E55" s="76" t="s">
        <v>54</v>
      </c>
      <c r="F55" s="95"/>
      <c r="G55" s="96">
        <v>21.417750000000002</v>
      </c>
      <c r="H55" s="97"/>
      <c r="I55" s="95"/>
      <c r="J55" s="95"/>
      <c r="K55" s="95"/>
      <c r="L55" s="95"/>
      <c r="M55" s="95"/>
      <c r="N55" s="95"/>
      <c r="O55" s="95"/>
      <c r="P55" s="95"/>
    </row>
    <row r="56" spans="1:16" s="81" customFormat="1" x14ac:dyDescent="0.25">
      <c r="A56" s="110"/>
      <c r="B56" s="95"/>
      <c r="C56" s="95"/>
      <c r="D56" s="76" t="s">
        <v>109</v>
      </c>
      <c r="E56" s="76" t="s">
        <v>54</v>
      </c>
      <c r="F56" s="95"/>
      <c r="G56" s="96">
        <v>41.1768</v>
      </c>
      <c r="H56" s="97"/>
      <c r="I56" s="95"/>
      <c r="J56" s="95"/>
      <c r="K56" s="95"/>
      <c r="L56" s="95"/>
      <c r="M56" s="95"/>
      <c r="N56" s="95"/>
      <c r="O56" s="95"/>
      <c r="P56" s="95"/>
    </row>
    <row r="57" spans="1:16" s="81" customFormat="1" x14ac:dyDescent="0.25">
      <c r="A57" s="110"/>
      <c r="B57" s="95"/>
      <c r="C57" s="95"/>
      <c r="D57" s="76" t="s">
        <v>110</v>
      </c>
      <c r="E57" s="76" t="s">
        <v>54</v>
      </c>
      <c r="F57" s="95"/>
      <c r="G57" s="96">
        <v>0.15</v>
      </c>
      <c r="H57" s="97"/>
      <c r="I57" s="95"/>
      <c r="J57" s="95"/>
      <c r="K57" s="95"/>
      <c r="L57" s="95"/>
      <c r="M57" s="95"/>
      <c r="N57" s="95"/>
      <c r="O57" s="95"/>
      <c r="P57" s="95"/>
    </row>
    <row r="58" spans="1:16" s="81" customFormat="1" ht="51" x14ac:dyDescent="0.25">
      <c r="A58" s="110"/>
      <c r="B58" s="95"/>
      <c r="C58" s="95"/>
      <c r="D58" s="76" t="s">
        <v>111</v>
      </c>
      <c r="E58" s="76" t="s">
        <v>54</v>
      </c>
      <c r="F58" s="95"/>
      <c r="G58" s="96">
        <v>121.61969999999999</v>
      </c>
      <c r="H58" s="97"/>
      <c r="I58" s="95"/>
      <c r="J58" s="95"/>
      <c r="K58" s="95"/>
      <c r="L58" s="95"/>
      <c r="M58" s="95"/>
      <c r="N58" s="95"/>
      <c r="O58" s="95"/>
      <c r="P58" s="95"/>
    </row>
    <row r="59" spans="1:16" s="81" customFormat="1" x14ac:dyDescent="0.25">
      <c r="A59" s="110"/>
      <c r="B59" s="95"/>
      <c r="C59" s="95"/>
      <c r="D59" s="76" t="s">
        <v>112</v>
      </c>
      <c r="E59" s="76" t="s">
        <v>54</v>
      </c>
      <c r="F59" s="95"/>
      <c r="G59" s="96">
        <v>14.396599999999999</v>
      </c>
      <c r="H59" s="97"/>
      <c r="I59" s="95"/>
      <c r="J59" s="95"/>
      <c r="K59" s="95"/>
      <c r="L59" s="95"/>
      <c r="M59" s="95"/>
      <c r="N59" s="95"/>
      <c r="O59" s="95"/>
      <c r="P59" s="95"/>
    </row>
    <row r="60" spans="1:16" s="81" customFormat="1" x14ac:dyDescent="0.25">
      <c r="A60" s="110"/>
      <c r="B60" s="95"/>
      <c r="C60" s="95"/>
      <c r="D60" s="76" t="s">
        <v>113</v>
      </c>
      <c r="E60" s="76" t="s">
        <v>54</v>
      </c>
      <c r="F60" s="95"/>
      <c r="G60" s="96">
        <v>5.8787599999999998</v>
      </c>
      <c r="H60" s="97"/>
      <c r="I60" s="95"/>
      <c r="J60" s="95"/>
      <c r="K60" s="95"/>
      <c r="L60" s="95"/>
      <c r="M60" s="95"/>
      <c r="N60" s="95"/>
      <c r="O60" s="95"/>
      <c r="P60" s="95"/>
    </row>
    <row r="61" spans="1:16" s="81" customFormat="1" x14ac:dyDescent="0.25">
      <c r="A61" s="110"/>
      <c r="B61" s="95"/>
      <c r="C61" s="95"/>
      <c r="D61" s="76" t="s">
        <v>54</v>
      </c>
      <c r="E61" s="76" t="s">
        <v>114</v>
      </c>
      <c r="F61" s="95"/>
      <c r="G61" s="96">
        <v>0</v>
      </c>
      <c r="H61" s="97"/>
      <c r="I61" s="95"/>
      <c r="J61" s="95"/>
      <c r="K61" s="95"/>
      <c r="L61" s="95"/>
      <c r="M61" s="95"/>
      <c r="N61" s="95"/>
      <c r="O61" s="95"/>
      <c r="P61" s="95"/>
    </row>
    <row r="62" spans="1:16" s="81" customFormat="1" x14ac:dyDescent="0.25">
      <c r="A62" s="110"/>
      <c r="B62" s="95"/>
      <c r="C62" s="95"/>
      <c r="D62" s="76" t="s">
        <v>115</v>
      </c>
      <c r="E62" s="76" t="s">
        <v>54</v>
      </c>
      <c r="F62" s="95"/>
      <c r="G62" s="96">
        <v>15.67686</v>
      </c>
      <c r="H62" s="97"/>
      <c r="I62" s="95"/>
      <c r="J62" s="95"/>
      <c r="K62" s="95"/>
      <c r="L62" s="95"/>
      <c r="M62" s="95"/>
      <c r="N62" s="95"/>
      <c r="O62" s="95"/>
      <c r="P62" s="95"/>
    </row>
    <row r="63" spans="1:16" s="81" customFormat="1" x14ac:dyDescent="0.25">
      <c r="A63" s="110"/>
      <c r="B63" s="95"/>
      <c r="C63" s="95"/>
      <c r="D63" s="76" t="s">
        <v>54</v>
      </c>
      <c r="E63" s="76" t="s">
        <v>116</v>
      </c>
      <c r="F63" s="95"/>
      <c r="G63" s="96">
        <v>0</v>
      </c>
      <c r="H63" s="97"/>
      <c r="I63" s="95"/>
      <c r="J63" s="95"/>
      <c r="K63" s="95"/>
      <c r="L63" s="95"/>
      <c r="M63" s="95"/>
      <c r="N63" s="95"/>
      <c r="O63" s="95"/>
      <c r="P63" s="95"/>
    </row>
    <row r="64" spans="1:16" s="81" customFormat="1" x14ac:dyDescent="0.25">
      <c r="A64" s="110"/>
      <c r="B64" s="95"/>
      <c r="C64" s="95"/>
      <c r="D64" s="76" t="s">
        <v>117</v>
      </c>
      <c r="E64" s="76" t="s">
        <v>54</v>
      </c>
      <c r="F64" s="95"/>
      <c r="G64" s="96">
        <v>0.152</v>
      </c>
      <c r="H64" s="97"/>
      <c r="I64" s="95"/>
      <c r="J64" s="95"/>
      <c r="K64" s="95"/>
      <c r="L64" s="95"/>
      <c r="M64" s="95"/>
      <c r="N64" s="95"/>
      <c r="O64" s="95"/>
      <c r="P64" s="95"/>
    </row>
    <row r="65" spans="1:76" s="81" customFormat="1" x14ac:dyDescent="0.25">
      <c r="A65" s="66" t="s">
        <v>118</v>
      </c>
      <c r="B65" s="72" t="s">
        <v>55</v>
      </c>
      <c r="C65" s="72" t="s">
        <v>119</v>
      </c>
      <c r="D65" s="174" t="s">
        <v>120</v>
      </c>
      <c r="E65" s="174"/>
      <c r="F65" s="72" t="s">
        <v>62</v>
      </c>
      <c r="G65" s="90">
        <v>204.30055999999999</v>
      </c>
      <c r="H65" s="91"/>
      <c r="I65" s="92" t="s">
        <v>63</v>
      </c>
      <c r="J65" s="90">
        <f>G65*AO65</f>
        <v>0</v>
      </c>
      <c r="K65" s="90">
        <f>G65*AP65</f>
        <v>0</v>
      </c>
      <c r="L65" s="90">
        <f>G65*H65</f>
        <v>0</v>
      </c>
      <c r="M65" s="90">
        <f>L65*(1+BW65/100)</f>
        <v>0</v>
      </c>
      <c r="N65" s="90">
        <v>0</v>
      </c>
      <c r="O65" s="90">
        <f>G65*N65</f>
        <v>0</v>
      </c>
      <c r="P65" s="92" t="s">
        <v>64</v>
      </c>
      <c r="Z65" s="93">
        <f>IF(AQ65="5",BJ65,0)</f>
        <v>0</v>
      </c>
      <c r="AB65" s="93">
        <f>IF(AQ65="1",BH65,0)</f>
        <v>0</v>
      </c>
      <c r="AC65" s="93">
        <f>IF(AQ65="1",BI65,0)</f>
        <v>0</v>
      </c>
      <c r="AD65" s="93">
        <f>IF(AQ65="7",BH65,0)</f>
        <v>0</v>
      </c>
      <c r="AE65" s="93">
        <f>IF(AQ65="7",BI65,0)</f>
        <v>0</v>
      </c>
      <c r="AF65" s="93">
        <f>IF(AQ65="2",BH65,0)</f>
        <v>0</v>
      </c>
      <c r="AG65" s="93">
        <f>IF(AQ65="2",BI65,0)</f>
        <v>0</v>
      </c>
      <c r="AH65" s="93">
        <f>IF(AQ65="0",BJ65,0)</f>
        <v>0</v>
      </c>
      <c r="AI65" s="88" t="s">
        <v>55</v>
      </c>
      <c r="AJ65" s="93">
        <f>IF(AN65=0,L65,0)</f>
        <v>0</v>
      </c>
      <c r="AK65" s="93">
        <f>IF(AN65=12,L65,0)</f>
        <v>0</v>
      </c>
      <c r="AL65" s="93">
        <f>IF(AN65=21,L65,0)</f>
        <v>0</v>
      </c>
      <c r="AN65" s="93">
        <v>21</v>
      </c>
      <c r="AO65" s="93">
        <f>H65*0</f>
        <v>0</v>
      </c>
      <c r="AP65" s="93">
        <f>H65*(1-0)</f>
        <v>0</v>
      </c>
      <c r="AQ65" s="94" t="s">
        <v>59</v>
      </c>
      <c r="AV65" s="93">
        <f>AW65+AX65</f>
        <v>0</v>
      </c>
      <c r="AW65" s="93">
        <f>G65*AO65</f>
        <v>0</v>
      </c>
      <c r="AX65" s="93">
        <f>G65*AP65</f>
        <v>0</v>
      </c>
      <c r="AY65" s="94" t="s">
        <v>65</v>
      </c>
      <c r="AZ65" s="94" t="s">
        <v>66</v>
      </c>
      <c r="BA65" s="88" t="s">
        <v>67</v>
      </c>
      <c r="BC65" s="93">
        <f>AW65+AX65</f>
        <v>0</v>
      </c>
      <c r="BD65" s="93">
        <f>H65/(100-BE65)*100</f>
        <v>0</v>
      </c>
      <c r="BE65" s="93">
        <v>0</v>
      </c>
      <c r="BF65" s="93">
        <f>O65</f>
        <v>0</v>
      </c>
      <c r="BH65" s="93">
        <f>G65*AO65</f>
        <v>0</v>
      </c>
      <c r="BI65" s="93">
        <f>G65*AP65</f>
        <v>0</v>
      </c>
      <c r="BJ65" s="93">
        <f>G65*H65</f>
        <v>0</v>
      </c>
      <c r="BK65" s="93"/>
      <c r="BL65" s="93">
        <v>13</v>
      </c>
      <c r="BW65" s="93" t="str">
        <f>I65</f>
        <v>21</v>
      </c>
      <c r="BX65" s="2" t="s">
        <v>120</v>
      </c>
    </row>
    <row r="66" spans="1:76" s="81" customFormat="1" x14ac:dyDescent="0.25">
      <c r="A66" s="110"/>
      <c r="B66" s="95"/>
      <c r="C66" s="95"/>
      <c r="D66" s="76" t="s">
        <v>121</v>
      </c>
      <c r="E66" s="76" t="s">
        <v>54</v>
      </c>
      <c r="F66" s="95"/>
      <c r="G66" s="96">
        <v>204.30055999999999</v>
      </c>
      <c r="H66" s="97"/>
      <c r="I66" s="95"/>
      <c r="J66" s="95"/>
      <c r="K66" s="95"/>
      <c r="L66" s="95"/>
      <c r="M66" s="95"/>
      <c r="N66" s="95"/>
      <c r="O66" s="95"/>
      <c r="P66" s="95"/>
    </row>
    <row r="67" spans="1:76" s="81" customFormat="1" x14ac:dyDescent="0.25">
      <c r="A67" s="66" t="s">
        <v>122</v>
      </c>
      <c r="B67" s="72" t="s">
        <v>55</v>
      </c>
      <c r="C67" s="72" t="s">
        <v>123</v>
      </c>
      <c r="D67" s="174" t="s">
        <v>124</v>
      </c>
      <c r="E67" s="174"/>
      <c r="F67" s="72" t="s">
        <v>62</v>
      </c>
      <c r="G67" s="90">
        <v>2497.6047400000002</v>
      </c>
      <c r="H67" s="91"/>
      <c r="I67" s="92" t="s">
        <v>63</v>
      </c>
      <c r="J67" s="90">
        <f>G67*AO67</f>
        <v>0</v>
      </c>
      <c r="K67" s="90">
        <f>G67*AP67</f>
        <v>0</v>
      </c>
      <c r="L67" s="90">
        <f>G67*H67</f>
        <v>0</v>
      </c>
      <c r="M67" s="90">
        <f>L67*(1+BW67/100)</f>
        <v>0</v>
      </c>
      <c r="N67" s="90">
        <v>0</v>
      </c>
      <c r="O67" s="90">
        <f>G67*N67</f>
        <v>0</v>
      </c>
      <c r="P67" s="92" t="s">
        <v>64</v>
      </c>
      <c r="Z67" s="93">
        <f>IF(AQ67="5",BJ67,0)</f>
        <v>0</v>
      </c>
      <c r="AB67" s="93">
        <f>IF(AQ67="1",BH67,0)</f>
        <v>0</v>
      </c>
      <c r="AC67" s="93">
        <f>IF(AQ67="1",BI67,0)</f>
        <v>0</v>
      </c>
      <c r="AD67" s="93">
        <f>IF(AQ67="7",BH67,0)</f>
        <v>0</v>
      </c>
      <c r="AE67" s="93">
        <f>IF(AQ67="7",BI67,0)</f>
        <v>0</v>
      </c>
      <c r="AF67" s="93">
        <f>IF(AQ67="2",BH67,0)</f>
        <v>0</v>
      </c>
      <c r="AG67" s="93">
        <f>IF(AQ67="2",BI67,0)</f>
        <v>0</v>
      </c>
      <c r="AH67" s="93">
        <f>IF(AQ67="0",BJ67,0)</f>
        <v>0</v>
      </c>
      <c r="AI67" s="88" t="s">
        <v>55</v>
      </c>
      <c r="AJ67" s="93">
        <f>IF(AN67=0,L67,0)</f>
        <v>0</v>
      </c>
      <c r="AK67" s="93">
        <f>IF(AN67=12,L67,0)</f>
        <v>0</v>
      </c>
      <c r="AL67" s="93">
        <f>IF(AN67=21,L67,0)</f>
        <v>0</v>
      </c>
      <c r="AN67" s="93">
        <v>21</v>
      </c>
      <c r="AO67" s="93">
        <f>H67*0</f>
        <v>0</v>
      </c>
      <c r="AP67" s="93">
        <f>H67*(1-0)</f>
        <v>0</v>
      </c>
      <c r="AQ67" s="94" t="s">
        <v>59</v>
      </c>
      <c r="AV67" s="93">
        <f>AW67+AX67</f>
        <v>0</v>
      </c>
      <c r="AW67" s="93">
        <f>G67*AO67</f>
        <v>0</v>
      </c>
      <c r="AX67" s="93">
        <f>G67*AP67</f>
        <v>0</v>
      </c>
      <c r="AY67" s="94" t="s">
        <v>65</v>
      </c>
      <c r="AZ67" s="94" t="s">
        <v>66</v>
      </c>
      <c r="BA67" s="88" t="s">
        <v>67</v>
      </c>
      <c r="BC67" s="93">
        <f>AW67+AX67</f>
        <v>0</v>
      </c>
      <c r="BD67" s="93">
        <f>H67/(100-BE67)*100</f>
        <v>0</v>
      </c>
      <c r="BE67" s="93">
        <v>0</v>
      </c>
      <c r="BF67" s="93">
        <f>O67</f>
        <v>0</v>
      </c>
      <c r="BH67" s="93">
        <f>G67*AO67</f>
        <v>0</v>
      </c>
      <c r="BI67" s="93">
        <f>G67*AP67</f>
        <v>0</v>
      </c>
      <c r="BJ67" s="93">
        <f>G67*H67</f>
        <v>0</v>
      </c>
      <c r="BK67" s="93"/>
      <c r="BL67" s="93">
        <v>13</v>
      </c>
      <c r="BW67" s="93" t="str">
        <f>I67</f>
        <v>21</v>
      </c>
      <c r="BX67" s="2" t="s">
        <v>124</v>
      </c>
    </row>
    <row r="68" spans="1:76" s="81" customFormat="1" x14ac:dyDescent="0.25">
      <c r="A68" s="110"/>
      <c r="B68" s="95"/>
      <c r="C68" s="95"/>
      <c r="D68" s="76" t="s">
        <v>54</v>
      </c>
      <c r="E68" s="76" t="s">
        <v>125</v>
      </c>
      <c r="F68" s="95"/>
      <c r="G68" s="96">
        <v>0</v>
      </c>
      <c r="H68" s="97"/>
      <c r="I68" s="95"/>
      <c r="J68" s="95"/>
      <c r="K68" s="95"/>
      <c r="L68" s="95"/>
      <c r="M68" s="95"/>
      <c r="N68" s="95"/>
      <c r="O68" s="95"/>
      <c r="P68" s="95"/>
    </row>
    <row r="69" spans="1:76" s="81" customFormat="1" x14ac:dyDescent="0.25">
      <c r="A69" s="110"/>
      <c r="B69" s="95"/>
      <c r="C69" s="95"/>
      <c r="D69" s="76" t="s">
        <v>126</v>
      </c>
      <c r="E69" s="76" t="s">
        <v>54</v>
      </c>
      <c r="F69" s="95"/>
      <c r="G69" s="96">
        <v>1657.9527499999999</v>
      </c>
      <c r="H69" s="97"/>
      <c r="I69" s="95"/>
      <c r="J69" s="95"/>
      <c r="K69" s="95"/>
      <c r="L69" s="95"/>
      <c r="M69" s="95"/>
      <c r="N69" s="95"/>
      <c r="O69" s="95"/>
      <c r="P69" s="95"/>
    </row>
    <row r="70" spans="1:76" s="81" customFormat="1" x14ac:dyDescent="0.25">
      <c r="A70" s="110"/>
      <c r="B70" s="95"/>
      <c r="C70" s="95"/>
      <c r="D70" s="76" t="s">
        <v>127</v>
      </c>
      <c r="E70" s="76" t="s">
        <v>54</v>
      </c>
      <c r="F70" s="95"/>
      <c r="G70" s="96">
        <v>456.47994</v>
      </c>
      <c r="H70" s="97"/>
      <c r="I70" s="95"/>
      <c r="J70" s="95"/>
      <c r="K70" s="95"/>
      <c r="L70" s="95"/>
      <c r="M70" s="95"/>
      <c r="N70" s="95"/>
      <c r="O70" s="95"/>
      <c r="P70" s="95"/>
    </row>
    <row r="71" spans="1:76" s="81" customFormat="1" x14ac:dyDescent="0.25">
      <c r="A71" s="110"/>
      <c r="B71" s="95"/>
      <c r="C71" s="95"/>
      <c r="D71" s="76" t="s">
        <v>128</v>
      </c>
      <c r="E71" s="76" t="s">
        <v>54</v>
      </c>
      <c r="F71" s="95"/>
      <c r="G71" s="96">
        <v>206.60749999999999</v>
      </c>
      <c r="H71" s="97"/>
      <c r="I71" s="95"/>
      <c r="J71" s="95"/>
      <c r="K71" s="95"/>
      <c r="L71" s="95"/>
      <c r="M71" s="95"/>
      <c r="N71" s="95"/>
      <c r="O71" s="95"/>
      <c r="P71" s="95"/>
    </row>
    <row r="72" spans="1:76" s="81" customFormat="1" x14ac:dyDescent="0.25">
      <c r="A72" s="110"/>
      <c r="B72" s="95"/>
      <c r="C72" s="95"/>
      <c r="D72" s="76" t="s">
        <v>129</v>
      </c>
      <c r="E72" s="76" t="s">
        <v>54</v>
      </c>
      <c r="F72" s="95"/>
      <c r="G72" s="96">
        <v>176.56455</v>
      </c>
      <c r="H72" s="97"/>
      <c r="I72" s="95"/>
      <c r="J72" s="95"/>
      <c r="K72" s="95"/>
      <c r="L72" s="95"/>
      <c r="M72" s="95"/>
      <c r="N72" s="95"/>
      <c r="O72" s="95"/>
      <c r="P72" s="95"/>
    </row>
    <row r="73" spans="1:76" s="81" customFormat="1" x14ac:dyDescent="0.25">
      <c r="A73" s="66" t="s">
        <v>130</v>
      </c>
      <c r="B73" s="72" t="s">
        <v>55</v>
      </c>
      <c r="C73" s="72" t="s">
        <v>131</v>
      </c>
      <c r="D73" s="174" t="s">
        <v>132</v>
      </c>
      <c r="E73" s="174"/>
      <c r="F73" s="72" t="s">
        <v>62</v>
      </c>
      <c r="G73" s="90">
        <v>1248.8023700000001</v>
      </c>
      <c r="H73" s="91"/>
      <c r="I73" s="92" t="s">
        <v>63</v>
      </c>
      <c r="J73" s="90">
        <f>G73*AO73</f>
        <v>0</v>
      </c>
      <c r="K73" s="90">
        <f>G73*AP73</f>
        <v>0</v>
      </c>
      <c r="L73" s="90">
        <f>G73*H73</f>
        <v>0</v>
      </c>
      <c r="M73" s="90">
        <f>L73*(1+BW73/100)</f>
        <v>0</v>
      </c>
      <c r="N73" s="90">
        <v>0</v>
      </c>
      <c r="O73" s="90">
        <f>G73*N73</f>
        <v>0</v>
      </c>
      <c r="P73" s="92" t="s">
        <v>64</v>
      </c>
      <c r="Z73" s="93">
        <f>IF(AQ73="5",BJ73,0)</f>
        <v>0</v>
      </c>
      <c r="AB73" s="93">
        <f>IF(AQ73="1",BH73,0)</f>
        <v>0</v>
      </c>
      <c r="AC73" s="93">
        <f>IF(AQ73="1",BI73,0)</f>
        <v>0</v>
      </c>
      <c r="AD73" s="93">
        <f>IF(AQ73="7",BH73,0)</f>
        <v>0</v>
      </c>
      <c r="AE73" s="93">
        <f>IF(AQ73="7",BI73,0)</f>
        <v>0</v>
      </c>
      <c r="AF73" s="93">
        <f>IF(AQ73="2",BH73,0)</f>
        <v>0</v>
      </c>
      <c r="AG73" s="93">
        <f>IF(AQ73="2",BI73,0)</f>
        <v>0</v>
      </c>
      <c r="AH73" s="93">
        <f>IF(AQ73="0",BJ73,0)</f>
        <v>0</v>
      </c>
      <c r="AI73" s="88" t="s">
        <v>55</v>
      </c>
      <c r="AJ73" s="93">
        <f>IF(AN73=0,L73,0)</f>
        <v>0</v>
      </c>
      <c r="AK73" s="93">
        <f>IF(AN73=12,L73,0)</f>
        <v>0</v>
      </c>
      <c r="AL73" s="93">
        <f>IF(AN73=21,L73,0)</f>
        <v>0</v>
      </c>
      <c r="AN73" s="93">
        <v>21</v>
      </c>
      <c r="AO73" s="93">
        <f>H73*0</f>
        <v>0</v>
      </c>
      <c r="AP73" s="93">
        <f>H73*(1-0)</f>
        <v>0</v>
      </c>
      <c r="AQ73" s="94" t="s">
        <v>59</v>
      </c>
      <c r="AV73" s="93">
        <f>AW73+AX73</f>
        <v>0</v>
      </c>
      <c r="AW73" s="93">
        <f>G73*AO73</f>
        <v>0</v>
      </c>
      <c r="AX73" s="93">
        <f>G73*AP73</f>
        <v>0</v>
      </c>
      <c r="AY73" s="94" t="s">
        <v>65</v>
      </c>
      <c r="AZ73" s="94" t="s">
        <v>66</v>
      </c>
      <c r="BA73" s="88" t="s">
        <v>67</v>
      </c>
      <c r="BC73" s="93">
        <f>AW73+AX73</f>
        <v>0</v>
      </c>
      <c r="BD73" s="93">
        <f>H73/(100-BE73)*100</f>
        <v>0</v>
      </c>
      <c r="BE73" s="93">
        <v>0</v>
      </c>
      <c r="BF73" s="93">
        <f>O73</f>
        <v>0</v>
      </c>
      <c r="BH73" s="93">
        <f>G73*AO73</f>
        <v>0</v>
      </c>
      <c r="BI73" s="93">
        <f>G73*AP73</f>
        <v>0</v>
      </c>
      <c r="BJ73" s="93">
        <f>G73*H73</f>
        <v>0</v>
      </c>
      <c r="BK73" s="93"/>
      <c r="BL73" s="93">
        <v>13</v>
      </c>
      <c r="BW73" s="93" t="str">
        <f>I73</f>
        <v>21</v>
      </c>
      <c r="BX73" s="2" t="s">
        <v>132</v>
      </c>
    </row>
    <row r="74" spans="1:76" s="81" customFormat="1" x14ac:dyDescent="0.25">
      <c r="A74" s="110"/>
      <c r="B74" s="95"/>
      <c r="C74" s="95"/>
      <c r="D74" s="76" t="s">
        <v>133</v>
      </c>
      <c r="E74" s="76" t="s">
        <v>54</v>
      </c>
      <c r="F74" s="95"/>
      <c r="G74" s="96">
        <v>1248.8023700000001</v>
      </c>
      <c r="H74" s="97"/>
      <c r="I74" s="95"/>
      <c r="J74" s="95"/>
      <c r="K74" s="95"/>
      <c r="L74" s="95"/>
      <c r="M74" s="95"/>
      <c r="N74" s="95"/>
      <c r="O74" s="95"/>
      <c r="P74" s="95"/>
    </row>
    <row r="75" spans="1:76" s="81" customFormat="1" x14ac:dyDescent="0.25">
      <c r="A75" s="109" t="s">
        <v>54</v>
      </c>
      <c r="B75" s="74" t="s">
        <v>55</v>
      </c>
      <c r="C75" s="74" t="s">
        <v>134</v>
      </c>
      <c r="D75" s="180" t="s">
        <v>135</v>
      </c>
      <c r="E75" s="180"/>
      <c r="F75" s="85" t="s">
        <v>4</v>
      </c>
      <c r="G75" s="85" t="s">
        <v>4</v>
      </c>
      <c r="H75" s="98"/>
      <c r="I75" s="85" t="s">
        <v>4</v>
      </c>
      <c r="J75" s="86">
        <f>SUM(J76:J86)</f>
        <v>0</v>
      </c>
      <c r="K75" s="86">
        <f>SUM(K76:K86)</f>
        <v>0</v>
      </c>
      <c r="L75" s="86">
        <f>SUM(L76:L86)</f>
        <v>0</v>
      </c>
      <c r="M75" s="86">
        <f>SUM(M76:M86)</f>
        <v>0</v>
      </c>
      <c r="N75" s="87" t="s">
        <v>54</v>
      </c>
      <c r="O75" s="86">
        <f>SUM(O76:O86)</f>
        <v>0</v>
      </c>
      <c r="P75" s="87" t="s">
        <v>54</v>
      </c>
      <c r="AI75" s="88" t="s">
        <v>55</v>
      </c>
      <c r="AS75" s="89">
        <f>SUM(AJ76:AJ86)</f>
        <v>0</v>
      </c>
      <c r="AT75" s="89">
        <f>SUM(AK76:AK86)</f>
        <v>0</v>
      </c>
      <c r="AU75" s="89">
        <f>SUM(AL76:AL86)</f>
        <v>0</v>
      </c>
    </row>
    <row r="76" spans="1:76" s="81" customFormat="1" x14ac:dyDescent="0.25">
      <c r="A76" s="66" t="s">
        <v>136</v>
      </c>
      <c r="B76" s="72" t="s">
        <v>55</v>
      </c>
      <c r="C76" s="72" t="s">
        <v>137</v>
      </c>
      <c r="D76" s="174" t="s">
        <v>138</v>
      </c>
      <c r="E76" s="174"/>
      <c r="F76" s="72" t="s">
        <v>62</v>
      </c>
      <c r="G76" s="90">
        <v>3527.19002</v>
      </c>
      <c r="H76" s="91"/>
      <c r="I76" s="92" t="s">
        <v>63</v>
      </c>
      <c r="J76" s="90">
        <f>G76*AO76</f>
        <v>0</v>
      </c>
      <c r="K76" s="90">
        <f>G76*AP76</f>
        <v>0</v>
      </c>
      <c r="L76" s="90">
        <f>G76*H76</f>
        <v>0</v>
      </c>
      <c r="M76" s="90">
        <f>L76*(1+BW76/100)</f>
        <v>0</v>
      </c>
      <c r="N76" s="90">
        <v>0</v>
      </c>
      <c r="O76" s="90">
        <f>G76*N76</f>
        <v>0</v>
      </c>
      <c r="P76" s="92" t="s">
        <v>64</v>
      </c>
      <c r="Z76" s="93">
        <f>IF(AQ76="5",BJ76,0)</f>
        <v>0</v>
      </c>
      <c r="AB76" s="93">
        <f>IF(AQ76="1",BH76,0)</f>
        <v>0</v>
      </c>
      <c r="AC76" s="93">
        <f>IF(AQ76="1",BI76,0)</f>
        <v>0</v>
      </c>
      <c r="AD76" s="93">
        <f>IF(AQ76="7",BH76,0)</f>
        <v>0</v>
      </c>
      <c r="AE76" s="93">
        <f>IF(AQ76="7",BI76,0)</f>
        <v>0</v>
      </c>
      <c r="AF76" s="93">
        <f>IF(AQ76="2",BH76,0)</f>
        <v>0</v>
      </c>
      <c r="AG76" s="93">
        <f>IF(AQ76="2",BI76,0)</f>
        <v>0</v>
      </c>
      <c r="AH76" s="93">
        <f>IF(AQ76="0",BJ76,0)</f>
        <v>0</v>
      </c>
      <c r="AI76" s="88" t="s">
        <v>55</v>
      </c>
      <c r="AJ76" s="93">
        <f>IF(AN76=0,L76,0)</f>
        <v>0</v>
      </c>
      <c r="AK76" s="93">
        <f>IF(AN76=12,L76,0)</f>
        <v>0</v>
      </c>
      <c r="AL76" s="93">
        <f>IF(AN76=21,L76,0)</f>
        <v>0</v>
      </c>
      <c r="AN76" s="93">
        <v>21</v>
      </c>
      <c r="AO76" s="93">
        <f>H76*0</f>
        <v>0</v>
      </c>
      <c r="AP76" s="93">
        <f>H76*(1-0)</f>
        <v>0</v>
      </c>
      <c r="AQ76" s="94" t="s">
        <v>59</v>
      </c>
      <c r="AV76" s="93">
        <f>AW76+AX76</f>
        <v>0</v>
      </c>
      <c r="AW76" s="93">
        <f>G76*AO76</f>
        <v>0</v>
      </c>
      <c r="AX76" s="93">
        <f>G76*AP76</f>
        <v>0</v>
      </c>
      <c r="AY76" s="94" t="s">
        <v>139</v>
      </c>
      <c r="AZ76" s="94" t="s">
        <v>66</v>
      </c>
      <c r="BA76" s="88" t="s">
        <v>67</v>
      </c>
      <c r="BC76" s="93">
        <f>AW76+AX76</f>
        <v>0</v>
      </c>
      <c r="BD76" s="93">
        <f>H76/(100-BE76)*100</f>
        <v>0</v>
      </c>
      <c r="BE76" s="93">
        <v>0</v>
      </c>
      <c r="BF76" s="93">
        <f>O76</f>
        <v>0</v>
      </c>
      <c r="BH76" s="93">
        <f>G76*AO76</f>
        <v>0</v>
      </c>
      <c r="BI76" s="93">
        <f>G76*AP76</f>
        <v>0</v>
      </c>
      <c r="BJ76" s="93">
        <f>G76*H76</f>
        <v>0</v>
      </c>
      <c r="BK76" s="93"/>
      <c r="BL76" s="93">
        <v>16</v>
      </c>
      <c r="BW76" s="93" t="str">
        <f>I76</f>
        <v>21</v>
      </c>
      <c r="BX76" s="2" t="s">
        <v>138</v>
      </c>
    </row>
    <row r="77" spans="1:76" s="81" customFormat="1" x14ac:dyDescent="0.25">
      <c r="A77" s="110"/>
      <c r="B77" s="95"/>
      <c r="C77" s="95"/>
      <c r="D77" s="76" t="s">
        <v>54</v>
      </c>
      <c r="E77" s="76" t="s">
        <v>140</v>
      </c>
      <c r="F77" s="95"/>
      <c r="G77" s="96">
        <v>0</v>
      </c>
      <c r="H77" s="97"/>
      <c r="I77" s="95"/>
      <c r="J77" s="95"/>
      <c r="K77" s="95"/>
      <c r="L77" s="95"/>
      <c r="M77" s="95"/>
      <c r="N77" s="95"/>
      <c r="O77" s="95"/>
      <c r="P77" s="95"/>
    </row>
    <row r="78" spans="1:76" s="81" customFormat="1" x14ac:dyDescent="0.25">
      <c r="A78" s="110"/>
      <c r="B78" s="95"/>
      <c r="C78" s="95"/>
      <c r="D78" s="76" t="s">
        <v>141</v>
      </c>
      <c r="E78" s="76" t="s">
        <v>54</v>
      </c>
      <c r="F78" s="95"/>
      <c r="G78" s="96">
        <v>2906.20586</v>
      </c>
      <c r="H78" s="97"/>
      <c r="I78" s="95"/>
      <c r="J78" s="95"/>
      <c r="K78" s="95"/>
      <c r="L78" s="95"/>
      <c r="M78" s="95"/>
      <c r="N78" s="95"/>
      <c r="O78" s="95"/>
      <c r="P78" s="95"/>
    </row>
    <row r="79" spans="1:76" s="81" customFormat="1" x14ac:dyDescent="0.25">
      <c r="A79" s="110"/>
      <c r="B79" s="95"/>
      <c r="C79" s="95"/>
      <c r="D79" s="76" t="s">
        <v>54</v>
      </c>
      <c r="E79" s="76" t="s">
        <v>142</v>
      </c>
      <c r="F79" s="95"/>
      <c r="G79" s="96">
        <v>0</v>
      </c>
      <c r="H79" s="97"/>
      <c r="I79" s="95"/>
      <c r="J79" s="95"/>
      <c r="K79" s="95"/>
      <c r="L79" s="95"/>
      <c r="M79" s="95"/>
      <c r="N79" s="95"/>
      <c r="O79" s="95"/>
      <c r="P79" s="95"/>
    </row>
    <row r="80" spans="1:76" s="81" customFormat="1" x14ac:dyDescent="0.25">
      <c r="A80" s="110"/>
      <c r="B80" s="95"/>
      <c r="C80" s="95"/>
      <c r="D80" s="76" t="s">
        <v>143</v>
      </c>
      <c r="E80" s="76" t="s">
        <v>54</v>
      </c>
      <c r="F80" s="95"/>
      <c r="G80" s="96">
        <v>620.98415999999997</v>
      </c>
      <c r="H80" s="97"/>
      <c r="I80" s="95"/>
      <c r="J80" s="95"/>
      <c r="K80" s="95"/>
      <c r="L80" s="95"/>
      <c r="M80" s="95"/>
      <c r="N80" s="95"/>
      <c r="O80" s="95"/>
      <c r="P80" s="95"/>
    </row>
    <row r="81" spans="1:76" s="81" customFormat="1" x14ac:dyDescent="0.25">
      <c r="A81" s="66" t="s">
        <v>144</v>
      </c>
      <c r="B81" s="72" t="s">
        <v>55</v>
      </c>
      <c r="C81" s="72" t="s">
        <v>145</v>
      </c>
      <c r="D81" s="174" t="s">
        <v>146</v>
      </c>
      <c r="E81" s="174"/>
      <c r="F81" s="72" t="s">
        <v>62</v>
      </c>
      <c r="G81" s="90">
        <v>2151.9776000000002</v>
      </c>
      <c r="H81" s="91"/>
      <c r="I81" s="92" t="s">
        <v>63</v>
      </c>
      <c r="J81" s="90">
        <f>G81*AO81</f>
        <v>0</v>
      </c>
      <c r="K81" s="90">
        <f>G81*AP81</f>
        <v>0</v>
      </c>
      <c r="L81" s="90">
        <f>G81*H81</f>
        <v>0</v>
      </c>
      <c r="M81" s="90">
        <f>L81*(1+BW81/100)</f>
        <v>0</v>
      </c>
      <c r="N81" s="90">
        <v>0</v>
      </c>
      <c r="O81" s="90">
        <f>G81*N81</f>
        <v>0</v>
      </c>
      <c r="P81" s="92" t="s">
        <v>64</v>
      </c>
      <c r="Z81" s="93">
        <f>IF(AQ81="5",BJ81,0)</f>
        <v>0</v>
      </c>
      <c r="AB81" s="93">
        <f>IF(AQ81="1",BH81,0)</f>
        <v>0</v>
      </c>
      <c r="AC81" s="93">
        <f>IF(AQ81="1",BI81,0)</f>
        <v>0</v>
      </c>
      <c r="AD81" s="93">
        <f>IF(AQ81="7",BH81,0)</f>
        <v>0</v>
      </c>
      <c r="AE81" s="93">
        <f>IF(AQ81="7",BI81,0)</f>
        <v>0</v>
      </c>
      <c r="AF81" s="93">
        <f>IF(AQ81="2",BH81,0)</f>
        <v>0</v>
      </c>
      <c r="AG81" s="93">
        <f>IF(AQ81="2",BI81,0)</f>
        <v>0</v>
      </c>
      <c r="AH81" s="93">
        <f>IF(AQ81="0",BJ81,0)</f>
        <v>0</v>
      </c>
      <c r="AI81" s="88" t="s">
        <v>55</v>
      </c>
      <c r="AJ81" s="93">
        <f>IF(AN81=0,L81,0)</f>
        <v>0</v>
      </c>
      <c r="AK81" s="93">
        <f>IF(AN81=12,L81,0)</f>
        <v>0</v>
      </c>
      <c r="AL81" s="93">
        <f>IF(AN81=21,L81,0)</f>
        <v>0</v>
      </c>
      <c r="AN81" s="93">
        <v>21</v>
      </c>
      <c r="AO81" s="93">
        <f>H81*0</f>
        <v>0</v>
      </c>
      <c r="AP81" s="93">
        <f>H81*(1-0)</f>
        <v>0</v>
      </c>
      <c r="AQ81" s="94" t="s">
        <v>59</v>
      </c>
      <c r="AV81" s="93">
        <f>AW81+AX81</f>
        <v>0</v>
      </c>
      <c r="AW81" s="93">
        <f>G81*AO81</f>
        <v>0</v>
      </c>
      <c r="AX81" s="93">
        <f>G81*AP81</f>
        <v>0</v>
      </c>
      <c r="AY81" s="94" t="s">
        <v>139</v>
      </c>
      <c r="AZ81" s="94" t="s">
        <v>66</v>
      </c>
      <c r="BA81" s="88" t="s">
        <v>67</v>
      </c>
      <c r="BC81" s="93">
        <f>AW81+AX81</f>
        <v>0</v>
      </c>
      <c r="BD81" s="93">
        <f>H81/(100-BE81)*100</f>
        <v>0</v>
      </c>
      <c r="BE81" s="93">
        <v>0</v>
      </c>
      <c r="BF81" s="93">
        <f>O81</f>
        <v>0</v>
      </c>
      <c r="BH81" s="93">
        <f>G81*AO81</f>
        <v>0</v>
      </c>
      <c r="BI81" s="93">
        <f>G81*AP81</f>
        <v>0</v>
      </c>
      <c r="BJ81" s="93">
        <f>G81*H81</f>
        <v>0</v>
      </c>
      <c r="BK81" s="93"/>
      <c r="BL81" s="93">
        <v>16</v>
      </c>
      <c r="BW81" s="93" t="str">
        <f>I81</f>
        <v>21</v>
      </c>
      <c r="BX81" s="2" t="s">
        <v>146</v>
      </c>
    </row>
    <row r="82" spans="1:76" s="81" customFormat="1" x14ac:dyDescent="0.25">
      <c r="A82" s="110"/>
      <c r="B82" s="95"/>
      <c r="C82" s="95"/>
      <c r="D82" s="76" t="s">
        <v>147</v>
      </c>
      <c r="E82" s="76" t="s">
        <v>54</v>
      </c>
      <c r="F82" s="95"/>
      <c r="G82" s="96">
        <v>2151.9776000000002</v>
      </c>
      <c r="H82" s="97"/>
      <c r="I82" s="95"/>
      <c r="J82" s="95"/>
      <c r="K82" s="95"/>
      <c r="L82" s="95"/>
      <c r="M82" s="95"/>
      <c r="N82" s="95"/>
      <c r="O82" s="95"/>
      <c r="P82" s="95"/>
    </row>
    <row r="83" spans="1:76" s="81" customFormat="1" x14ac:dyDescent="0.25">
      <c r="A83" s="66" t="s">
        <v>148</v>
      </c>
      <c r="B83" s="72" t="s">
        <v>55</v>
      </c>
      <c r="C83" s="72" t="s">
        <v>149</v>
      </c>
      <c r="D83" s="174" t="s">
        <v>150</v>
      </c>
      <c r="E83" s="174"/>
      <c r="F83" s="72" t="s">
        <v>62</v>
      </c>
      <c r="G83" s="90">
        <v>21519.776000000002</v>
      </c>
      <c r="H83" s="91"/>
      <c r="I83" s="92" t="s">
        <v>63</v>
      </c>
      <c r="J83" s="90">
        <f>G83*AO83</f>
        <v>0</v>
      </c>
      <c r="K83" s="90">
        <f>G83*AP83</f>
        <v>0</v>
      </c>
      <c r="L83" s="90">
        <f>G83*H83</f>
        <v>0</v>
      </c>
      <c r="M83" s="90">
        <f>L83*(1+BW83/100)</f>
        <v>0</v>
      </c>
      <c r="N83" s="90">
        <v>0</v>
      </c>
      <c r="O83" s="90">
        <f>G83*N83</f>
        <v>0</v>
      </c>
      <c r="P83" s="92" t="s">
        <v>64</v>
      </c>
      <c r="Z83" s="93">
        <f>IF(AQ83="5",BJ83,0)</f>
        <v>0</v>
      </c>
      <c r="AB83" s="93">
        <f>IF(AQ83="1",BH83,0)</f>
        <v>0</v>
      </c>
      <c r="AC83" s="93">
        <f>IF(AQ83="1",BI83,0)</f>
        <v>0</v>
      </c>
      <c r="AD83" s="93">
        <f>IF(AQ83="7",BH83,0)</f>
        <v>0</v>
      </c>
      <c r="AE83" s="93">
        <f>IF(AQ83="7",BI83,0)</f>
        <v>0</v>
      </c>
      <c r="AF83" s="93">
        <f>IF(AQ83="2",BH83,0)</f>
        <v>0</v>
      </c>
      <c r="AG83" s="93">
        <f>IF(AQ83="2",BI83,0)</f>
        <v>0</v>
      </c>
      <c r="AH83" s="93">
        <f>IF(AQ83="0",BJ83,0)</f>
        <v>0</v>
      </c>
      <c r="AI83" s="88" t="s">
        <v>55</v>
      </c>
      <c r="AJ83" s="93">
        <f>IF(AN83=0,L83,0)</f>
        <v>0</v>
      </c>
      <c r="AK83" s="93">
        <f>IF(AN83=12,L83,0)</f>
        <v>0</v>
      </c>
      <c r="AL83" s="93">
        <f>IF(AN83=21,L83,0)</f>
        <v>0</v>
      </c>
      <c r="AN83" s="93">
        <v>21</v>
      </c>
      <c r="AO83" s="93">
        <f>H83*0</f>
        <v>0</v>
      </c>
      <c r="AP83" s="93">
        <f>H83*(1-0)</f>
        <v>0</v>
      </c>
      <c r="AQ83" s="94" t="s">
        <v>59</v>
      </c>
      <c r="AV83" s="93">
        <f>AW83+AX83</f>
        <v>0</v>
      </c>
      <c r="AW83" s="93">
        <f>G83*AO83</f>
        <v>0</v>
      </c>
      <c r="AX83" s="93">
        <f>G83*AP83</f>
        <v>0</v>
      </c>
      <c r="AY83" s="94" t="s">
        <v>139</v>
      </c>
      <c r="AZ83" s="94" t="s">
        <v>66</v>
      </c>
      <c r="BA83" s="88" t="s">
        <v>67</v>
      </c>
      <c r="BC83" s="93">
        <f>AW83+AX83</f>
        <v>0</v>
      </c>
      <c r="BD83" s="93">
        <f>H83/(100-BE83)*100</f>
        <v>0</v>
      </c>
      <c r="BE83" s="93">
        <v>0</v>
      </c>
      <c r="BF83" s="93">
        <f>O83</f>
        <v>0</v>
      </c>
      <c r="BH83" s="93">
        <f>G83*AO83</f>
        <v>0</v>
      </c>
      <c r="BI83" s="93">
        <f>G83*AP83</f>
        <v>0</v>
      </c>
      <c r="BJ83" s="93">
        <f>G83*H83</f>
        <v>0</v>
      </c>
      <c r="BK83" s="93"/>
      <c r="BL83" s="93">
        <v>16</v>
      </c>
      <c r="BW83" s="93" t="str">
        <f>I83</f>
        <v>21</v>
      </c>
      <c r="BX83" s="2" t="s">
        <v>150</v>
      </c>
    </row>
    <row r="84" spans="1:76" s="81" customFormat="1" x14ac:dyDescent="0.25">
      <c r="A84" s="110"/>
      <c r="B84" s="95"/>
      <c r="C84" s="95"/>
      <c r="D84" s="76" t="s">
        <v>151</v>
      </c>
      <c r="E84" s="76" t="s">
        <v>54</v>
      </c>
      <c r="F84" s="95"/>
      <c r="G84" s="96">
        <v>21519.776000000002</v>
      </c>
      <c r="H84" s="97"/>
      <c r="I84" s="95"/>
      <c r="J84" s="95"/>
      <c r="K84" s="95"/>
      <c r="L84" s="95"/>
      <c r="M84" s="95"/>
      <c r="N84" s="95"/>
      <c r="O84" s="95"/>
      <c r="P84" s="95"/>
    </row>
    <row r="85" spans="1:76" s="81" customFormat="1" x14ac:dyDescent="0.25">
      <c r="A85" s="66" t="s">
        <v>152</v>
      </c>
      <c r="B85" s="72" t="s">
        <v>55</v>
      </c>
      <c r="C85" s="72" t="s">
        <v>153</v>
      </c>
      <c r="D85" s="174" t="s">
        <v>154</v>
      </c>
      <c r="E85" s="174"/>
      <c r="F85" s="72" t="s">
        <v>62</v>
      </c>
      <c r="G85" s="90">
        <v>2151.9776000000002</v>
      </c>
      <c r="H85" s="91"/>
      <c r="I85" s="92" t="s">
        <v>63</v>
      </c>
      <c r="J85" s="90">
        <f>G85*AO85</f>
        <v>0</v>
      </c>
      <c r="K85" s="90">
        <f>G85*AP85</f>
        <v>0</v>
      </c>
      <c r="L85" s="90">
        <f>G85*H85</f>
        <v>0</v>
      </c>
      <c r="M85" s="90">
        <f>L85*(1+BW85/100)</f>
        <v>0</v>
      </c>
      <c r="N85" s="90">
        <v>0</v>
      </c>
      <c r="O85" s="90">
        <f>G85*N85</f>
        <v>0</v>
      </c>
      <c r="P85" s="92" t="s">
        <v>64</v>
      </c>
      <c r="Z85" s="93">
        <f>IF(AQ85="5",BJ85,0)</f>
        <v>0</v>
      </c>
      <c r="AB85" s="93">
        <f>IF(AQ85="1",BH85,0)</f>
        <v>0</v>
      </c>
      <c r="AC85" s="93">
        <f>IF(AQ85="1",BI85,0)</f>
        <v>0</v>
      </c>
      <c r="AD85" s="93">
        <f>IF(AQ85="7",BH85,0)</f>
        <v>0</v>
      </c>
      <c r="AE85" s="93">
        <f>IF(AQ85="7",BI85,0)</f>
        <v>0</v>
      </c>
      <c r="AF85" s="93">
        <f>IF(AQ85="2",BH85,0)</f>
        <v>0</v>
      </c>
      <c r="AG85" s="93">
        <f>IF(AQ85="2",BI85,0)</f>
        <v>0</v>
      </c>
      <c r="AH85" s="93">
        <f>IF(AQ85="0",BJ85,0)</f>
        <v>0</v>
      </c>
      <c r="AI85" s="88" t="s">
        <v>55</v>
      </c>
      <c r="AJ85" s="93">
        <f>IF(AN85=0,L85,0)</f>
        <v>0</v>
      </c>
      <c r="AK85" s="93">
        <f>IF(AN85=12,L85,0)</f>
        <v>0</v>
      </c>
      <c r="AL85" s="93">
        <f>IF(AN85=21,L85,0)</f>
        <v>0</v>
      </c>
      <c r="AN85" s="93">
        <v>21</v>
      </c>
      <c r="AO85" s="93">
        <f>H85*0</f>
        <v>0</v>
      </c>
      <c r="AP85" s="93">
        <f>H85*(1-0)</f>
        <v>0</v>
      </c>
      <c r="AQ85" s="94" t="s">
        <v>59</v>
      </c>
      <c r="AV85" s="93">
        <f>AW85+AX85</f>
        <v>0</v>
      </c>
      <c r="AW85" s="93">
        <f>G85*AO85</f>
        <v>0</v>
      </c>
      <c r="AX85" s="93">
        <f>G85*AP85</f>
        <v>0</v>
      </c>
      <c r="AY85" s="94" t="s">
        <v>139</v>
      </c>
      <c r="AZ85" s="94" t="s">
        <v>66</v>
      </c>
      <c r="BA85" s="88" t="s">
        <v>67</v>
      </c>
      <c r="BC85" s="93">
        <f>AW85+AX85</f>
        <v>0</v>
      </c>
      <c r="BD85" s="93">
        <f>H85/(100-BE85)*100</f>
        <v>0</v>
      </c>
      <c r="BE85" s="93">
        <v>0</v>
      </c>
      <c r="BF85" s="93">
        <f>O85</f>
        <v>0</v>
      </c>
      <c r="BH85" s="93">
        <f>G85*AO85</f>
        <v>0</v>
      </c>
      <c r="BI85" s="93">
        <f>G85*AP85</f>
        <v>0</v>
      </c>
      <c r="BJ85" s="93">
        <f>G85*H85</f>
        <v>0</v>
      </c>
      <c r="BK85" s="93"/>
      <c r="BL85" s="93">
        <v>16</v>
      </c>
      <c r="BW85" s="93" t="str">
        <f>I85</f>
        <v>21</v>
      </c>
      <c r="BX85" s="2" t="s">
        <v>154</v>
      </c>
    </row>
    <row r="86" spans="1:76" s="81" customFormat="1" x14ac:dyDescent="0.25">
      <c r="A86" s="66" t="s">
        <v>155</v>
      </c>
      <c r="B86" s="72" t="s">
        <v>55</v>
      </c>
      <c r="C86" s="72" t="s">
        <v>156</v>
      </c>
      <c r="D86" s="174" t="s">
        <v>157</v>
      </c>
      <c r="E86" s="174"/>
      <c r="F86" s="72" t="s">
        <v>62</v>
      </c>
      <c r="G86" s="90">
        <v>2906.20586</v>
      </c>
      <c r="H86" s="91"/>
      <c r="I86" s="92" t="s">
        <v>63</v>
      </c>
      <c r="J86" s="90">
        <f>G86*AO86</f>
        <v>0</v>
      </c>
      <c r="K86" s="90">
        <f>G86*AP86</f>
        <v>0</v>
      </c>
      <c r="L86" s="90">
        <f>G86*H86</f>
        <v>0</v>
      </c>
      <c r="M86" s="90">
        <f>L86*(1+BW86/100)</f>
        <v>0</v>
      </c>
      <c r="N86" s="90">
        <v>0</v>
      </c>
      <c r="O86" s="90">
        <f>G86*N86</f>
        <v>0</v>
      </c>
      <c r="P86" s="92" t="s">
        <v>64</v>
      </c>
      <c r="Z86" s="93">
        <f>IF(AQ86="5",BJ86,0)</f>
        <v>0</v>
      </c>
      <c r="AB86" s="93">
        <f>IF(AQ86="1",BH86,0)</f>
        <v>0</v>
      </c>
      <c r="AC86" s="93">
        <f>IF(AQ86="1",BI86,0)</f>
        <v>0</v>
      </c>
      <c r="AD86" s="93">
        <f>IF(AQ86="7",BH86,0)</f>
        <v>0</v>
      </c>
      <c r="AE86" s="93">
        <f>IF(AQ86="7",BI86,0)</f>
        <v>0</v>
      </c>
      <c r="AF86" s="93">
        <f>IF(AQ86="2",BH86,0)</f>
        <v>0</v>
      </c>
      <c r="AG86" s="93">
        <f>IF(AQ86="2",BI86,0)</f>
        <v>0</v>
      </c>
      <c r="AH86" s="93">
        <f>IF(AQ86="0",BJ86,0)</f>
        <v>0</v>
      </c>
      <c r="AI86" s="88" t="s">
        <v>55</v>
      </c>
      <c r="AJ86" s="93">
        <f>IF(AN86=0,L86,0)</f>
        <v>0</v>
      </c>
      <c r="AK86" s="93">
        <f>IF(AN86=12,L86,0)</f>
        <v>0</v>
      </c>
      <c r="AL86" s="93">
        <f>IF(AN86=21,L86,0)</f>
        <v>0</v>
      </c>
      <c r="AN86" s="93">
        <v>21</v>
      </c>
      <c r="AO86" s="93">
        <f>H86*0</f>
        <v>0</v>
      </c>
      <c r="AP86" s="93">
        <f>H86*(1-0)</f>
        <v>0</v>
      </c>
      <c r="AQ86" s="94" t="s">
        <v>59</v>
      </c>
      <c r="AV86" s="93">
        <f>AW86+AX86</f>
        <v>0</v>
      </c>
      <c r="AW86" s="93">
        <f>G86*AO86</f>
        <v>0</v>
      </c>
      <c r="AX86" s="93">
        <f>G86*AP86</f>
        <v>0</v>
      </c>
      <c r="AY86" s="94" t="s">
        <v>139</v>
      </c>
      <c r="AZ86" s="94" t="s">
        <v>66</v>
      </c>
      <c r="BA86" s="88" t="s">
        <v>67</v>
      </c>
      <c r="BC86" s="93">
        <f>AW86+AX86</f>
        <v>0</v>
      </c>
      <c r="BD86" s="93">
        <f>H86/(100-BE86)*100</f>
        <v>0</v>
      </c>
      <c r="BE86" s="93">
        <v>0</v>
      </c>
      <c r="BF86" s="93">
        <f>O86</f>
        <v>0</v>
      </c>
      <c r="BH86" s="93">
        <f>G86*AO86</f>
        <v>0</v>
      </c>
      <c r="BI86" s="93">
        <f>G86*AP86</f>
        <v>0</v>
      </c>
      <c r="BJ86" s="93">
        <f>G86*H86</f>
        <v>0</v>
      </c>
      <c r="BK86" s="93"/>
      <c r="BL86" s="93">
        <v>16</v>
      </c>
      <c r="BW86" s="93" t="str">
        <f>I86</f>
        <v>21</v>
      </c>
      <c r="BX86" s="2" t="s">
        <v>157</v>
      </c>
    </row>
    <row r="87" spans="1:76" s="81" customFormat="1" ht="25.5" x14ac:dyDescent="0.25">
      <c r="A87" s="110"/>
      <c r="B87" s="95"/>
      <c r="C87" s="95"/>
      <c r="D87" s="76" t="s">
        <v>54</v>
      </c>
      <c r="E87" s="76" t="s">
        <v>158</v>
      </c>
      <c r="F87" s="95"/>
      <c r="G87" s="96">
        <v>0</v>
      </c>
      <c r="H87" s="97"/>
      <c r="I87" s="95"/>
      <c r="J87" s="95"/>
      <c r="K87" s="95"/>
      <c r="L87" s="95"/>
      <c r="M87" s="95"/>
      <c r="N87" s="95"/>
      <c r="O87" s="95"/>
      <c r="P87" s="95"/>
    </row>
    <row r="88" spans="1:76" s="81" customFormat="1" x14ac:dyDescent="0.25">
      <c r="A88" s="110"/>
      <c r="B88" s="95"/>
      <c r="C88" s="95"/>
      <c r="D88" s="76" t="s">
        <v>147</v>
      </c>
      <c r="E88" s="76" t="s">
        <v>54</v>
      </c>
      <c r="F88" s="95"/>
      <c r="G88" s="96">
        <v>2151.9776000000002</v>
      </c>
      <c r="H88" s="97"/>
      <c r="I88" s="95"/>
      <c r="J88" s="95"/>
      <c r="K88" s="95"/>
      <c r="L88" s="95"/>
      <c r="M88" s="95"/>
      <c r="N88" s="95"/>
      <c r="O88" s="95"/>
      <c r="P88" s="95"/>
    </row>
    <row r="89" spans="1:76" s="81" customFormat="1" x14ac:dyDescent="0.25">
      <c r="A89" s="110"/>
      <c r="B89" s="95"/>
      <c r="C89" s="95"/>
      <c r="D89" s="76" t="s">
        <v>159</v>
      </c>
      <c r="E89" s="76" t="s">
        <v>54</v>
      </c>
      <c r="F89" s="95"/>
      <c r="G89" s="96">
        <v>754.22825999999998</v>
      </c>
      <c r="H89" s="97"/>
      <c r="I89" s="95"/>
      <c r="J89" s="95"/>
      <c r="K89" s="95"/>
      <c r="L89" s="95"/>
      <c r="M89" s="95"/>
      <c r="N89" s="95"/>
      <c r="O89" s="95"/>
      <c r="P89" s="95"/>
    </row>
    <row r="90" spans="1:76" s="81" customFormat="1" x14ac:dyDescent="0.25">
      <c r="A90" s="109" t="s">
        <v>54</v>
      </c>
      <c r="B90" s="74" t="s">
        <v>55</v>
      </c>
      <c r="C90" s="74" t="s">
        <v>160</v>
      </c>
      <c r="D90" s="180" t="s">
        <v>161</v>
      </c>
      <c r="E90" s="180"/>
      <c r="F90" s="85" t="s">
        <v>4</v>
      </c>
      <c r="G90" s="85" t="s">
        <v>4</v>
      </c>
      <c r="H90" s="98"/>
      <c r="I90" s="85" t="s">
        <v>4</v>
      </c>
      <c r="J90" s="86">
        <f>SUM(J91:J91)</f>
        <v>0</v>
      </c>
      <c r="K90" s="86">
        <f>SUM(K91:K91)</f>
        <v>0</v>
      </c>
      <c r="L90" s="86">
        <f>SUM(L91:L91)</f>
        <v>0</v>
      </c>
      <c r="M90" s="86">
        <f>SUM(M91:M91)</f>
        <v>0</v>
      </c>
      <c r="N90" s="87" t="s">
        <v>54</v>
      </c>
      <c r="O90" s="86">
        <f>SUM(O91:O91)</f>
        <v>0</v>
      </c>
      <c r="P90" s="87" t="s">
        <v>54</v>
      </c>
      <c r="AI90" s="88" t="s">
        <v>55</v>
      </c>
      <c r="AS90" s="89">
        <f>SUM(AJ91:AJ91)</f>
        <v>0</v>
      </c>
      <c r="AT90" s="89">
        <f>SUM(AK91:AK91)</f>
        <v>0</v>
      </c>
      <c r="AU90" s="89">
        <f>SUM(AL91:AL91)</f>
        <v>0</v>
      </c>
    </row>
    <row r="91" spans="1:76" s="81" customFormat="1" x14ac:dyDescent="0.25">
      <c r="A91" s="66" t="s">
        <v>162</v>
      </c>
      <c r="B91" s="72" t="s">
        <v>55</v>
      </c>
      <c r="C91" s="72" t="s">
        <v>163</v>
      </c>
      <c r="D91" s="174" t="s">
        <v>164</v>
      </c>
      <c r="E91" s="174"/>
      <c r="F91" s="72" t="s">
        <v>62</v>
      </c>
      <c r="G91" s="90">
        <v>754.22825999999998</v>
      </c>
      <c r="H91" s="91"/>
      <c r="I91" s="92" t="s">
        <v>63</v>
      </c>
      <c r="J91" s="90">
        <f>G91*AO91</f>
        <v>0</v>
      </c>
      <c r="K91" s="90">
        <f>G91*AP91</f>
        <v>0</v>
      </c>
      <c r="L91" s="90">
        <f>G91*H91</f>
        <v>0</v>
      </c>
      <c r="M91" s="90">
        <f>L91*(1+BW91/100)</f>
        <v>0</v>
      </c>
      <c r="N91" s="90">
        <v>0</v>
      </c>
      <c r="O91" s="90">
        <f>G91*N91</f>
        <v>0</v>
      </c>
      <c r="P91" s="92" t="s">
        <v>64</v>
      </c>
      <c r="Z91" s="93">
        <f>IF(AQ91="5",BJ91,0)</f>
        <v>0</v>
      </c>
      <c r="AB91" s="93">
        <f>IF(AQ91="1",BH91,0)</f>
        <v>0</v>
      </c>
      <c r="AC91" s="93">
        <f>IF(AQ91="1",BI91,0)</f>
        <v>0</v>
      </c>
      <c r="AD91" s="93">
        <f>IF(AQ91="7",BH91,0)</f>
        <v>0</v>
      </c>
      <c r="AE91" s="93">
        <f>IF(AQ91="7",BI91,0)</f>
        <v>0</v>
      </c>
      <c r="AF91" s="93">
        <f>IF(AQ91="2",BH91,0)</f>
        <v>0</v>
      </c>
      <c r="AG91" s="93">
        <f>IF(AQ91="2",BI91,0)</f>
        <v>0</v>
      </c>
      <c r="AH91" s="93">
        <f>IF(AQ91="0",BJ91,0)</f>
        <v>0</v>
      </c>
      <c r="AI91" s="88" t="s">
        <v>55</v>
      </c>
      <c r="AJ91" s="93">
        <f>IF(AN91=0,L91,0)</f>
        <v>0</v>
      </c>
      <c r="AK91" s="93">
        <f>IF(AN91=12,L91,0)</f>
        <v>0</v>
      </c>
      <c r="AL91" s="93">
        <f>IF(AN91=21,L91,0)</f>
        <v>0</v>
      </c>
      <c r="AN91" s="93">
        <v>21</v>
      </c>
      <c r="AO91" s="93">
        <f>H91*0</f>
        <v>0</v>
      </c>
      <c r="AP91" s="93">
        <f>H91*(1-0)</f>
        <v>0</v>
      </c>
      <c r="AQ91" s="94" t="s">
        <v>59</v>
      </c>
      <c r="AV91" s="93">
        <f>AW91+AX91</f>
        <v>0</v>
      </c>
      <c r="AW91" s="93">
        <f>G91*AO91</f>
        <v>0</v>
      </c>
      <c r="AX91" s="93">
        <f>G91*AP91</f>
        <v>0</v>
      </c>
      <c r="AY91" s="94" t="s">
        <v>165</v>
      </c>
      <c r="AZ91" s="94" t="s">
        <v>66</v>
      </c>
      <c r="BA91" s="88" t="s">
        <v>67</v>
      </c>
      <c r="BC91" s="93">
        <f>AW91+AX91</f>
        <v>0</v>
      </c>
      <c r="BD91" s="93">
        <f>H91/(100-BE91)*100</f>
        <v>0</v>
      </c>
      <c r="BE91" s="93">
        <v>0</v>
      </c>
      <c r="BF91" s="93">
        <f>O91</f>
        <v>0</v>
      </c>
      <c r="BH91" s="93">
        <f>G91*AO91</f>
        <v>0</v>
      </c>
      <c r="BI91" s="93">
        <f>G91*AP91</f>
        <v>0</v>
      </c>
      <c r="BJ91" s="93">
        <f>G91*H91</f>
        <v>0</v>
      </c>
      <c r="BK91" s="93"/>
      <c r="BL91" s="93">
        <v>17</v>
      </c>
      <c r="BW91" s="93" t="str">
        <f>I91</f>
        <v>21</v>
      </c>
      <c r="BX91" s="2" t="s">
        <v>164</v>
      </c>
    </row>
    <row r="92" spans="1:76" s="81" customFormat="1" x14ac:dyDescent="0.25">
      <c r="A92" s="110"/>
      <c r="B92" s="95"/>
      <c r="C92" s="95"/>
      <c r="D92" s="76" t="s">
        <v>54</v>
      </c>
      <c r="E92" s="76" t="s">
        <v>166</v>
      </c>
      <c r="F92" s="95"/>
      <c r="G92" s="96">
        <v>0</v>
      </c>
      <c r="H92" s="97"/>
      <c r="I92" s="95"/>
      <c r="J92" s="95"/>
      <c r="K92" s="95"/>
      <c r="L92" s="95"/>
      <c r="M92" s="95"/>
      <c r="N92" s="95"/>
      <c r="O92" s="95"/>
      <c r="P92" s="95"/>
    </row>
    <row r="93" spans="1:76" s="81" customFormat="1" x14ac:dyDescent="0.25">
      <c r="A93" s="110"/>
      <c r="B93" s="95"/>
      <c r="C93" s="95"/>
      <c r="D93" s="76" t="s">
        <v>167</v>
      </c>
      <c r="E93" s="76" t="s">
        <v>54</v>
      </c>
      <c r="F93" s="95"/>
      <c r="G93" s="96">
        <v>42.217550000000003</v>
      </c>
      <c r="H93" s="97"/>
      <c r="I93" s="95"/>
      <c r="J93" s="95"/>
      <c r="K93" s="95"/>
      <c r="L93" s="95"/>
      <c r="M93" s="95"/>
      <c r="N93" s="95"/>
      <c r="O93" s="95"/>
      <c r="P93" s="95"/>
    </row>
    <row r="94" spans="1:76" s="81" customFormat="1" x14ac:dyDescent="0.25">
      <c r="A94" s="110"/>
      <c r="B94" s="95"/>
      <c r="C94" s="95"/>
      <c r="D94" s="76" t="s">
        <v>168</v>
      </c>
      <c r="E94" s="76" t="s">
        <v>54</v>
      </c>
      <c r="F94" s="95"/>
      <c r="G94" s="96">
        <v>133.2441</v>
      </c>
      <c r="H94" s="97"/>
      <c r="I94" s="95"/>
      <c r="J94" s="95"/>
      <c r="K94" s="95"/>
      <c r="L94" s="95"/>
      <c r="M94" s="95"/>
      <c r="N94" s="95"/>
      <c r="O94" s="95"/>
      <c r="P94" s="95"/>
    </row>
    <row r="95" spans="1:76" s="81" customFormat="1" x14ac:dyDescent="0.25">
      <c r="A95" s="110"/>
      <c r="B95" s="95"/>
      <c r="C95" s="95"/>
      <c r="D95" s="76" t="s">
        <v>169</v>
      </c>
      <c r="E95" s="76" t="s">
        <v>54</v>
      </c>
      <c r="F95" s="95"/>
      <c r="G95" s="96">
        <v>26.163</v>
      </c>
      <c r="H95" s="97"/>
      <c r="I95" s="95"/>
      <c r="J95" s="95"/>
      <c r="K95" s="95"/>
      <c r="L95" s="95"/>
      <c r="M95" s="95"/>
      <c r="N95" s="95"/>
      <c r="O95" s="95"/>
      <c r="P95" s="95"/>
    </row>
    <row r="96" spans="1:76" s="81" customFormat="1" x14ac:dyDescent="0.25">
      <c r="A96" s="110"/>
      <c r="B96" s="95"/>
      <c r="C96" s="95"/>
      <c r="D96" s="76" t="s">
        <v>170</v>
      </c>
      <c r="E96" s="76" t="s">
        <v>54</v>
      </c>
      <c r="F96" s="95"/>
      <c r="G96" s="96">
        <v>62.458010000000002</v>
      </c>
      <c r="H96" s="97"/>
      <c r="I96" s="95"/>
      <c r="J96" s="95"/>
      <c r="K96" s="95"/>
      <c r="L96" s="95"/>
      <c r="M96" s="95"/>
      <c r="N96" s="95"/>
      <c r="O96" s="95"/>
      <c r="P96" s="95"/>
    </row>
    <row r="97" spans="1:76" s="81" customFormat="1" x14ac:dyDescent="0.25">
      <c r="A97" s="110"/>
      <c r="B97" s="95"/>
      <c r="C97" s="95"/>
      <c r="D97" s="76" t="s">
        <v>171</v>
      </c>
      <c r="E97" s="76" t="s">
        <v>54</v>
      </c>
      <c r="F97" s="95"/>
      <c r="G97" s="96">
        <v>42.653500000000001</v>
      </c>
      <c r="H97" s="97"/>
      <c r="I97" s="95"/>
      <c r="J97" s="95"/>
      <c r="K97" s="95"/>
      <c r="L97" s="95"/>
      <c r="M97" s="95"/>
      <c r="N97" s="95"/>
      <c r="O97" s="95"/>
      <c r="P97" s="95"/>
    </row>
    <row r="98" spans="1:76" s="81" customFormat="1" x14ac:dyDescent="0.25">
      <c r="A98" s="110"/>
      <c r="B98" s="95"/>
      <c r="C98" s="95"/>
      <c r="D98" s="76" t="s">
        <v>172</v>
      </c>
      <c r="E98" s="76" t="s">
        <v>54</v>
      </c>
      <c r="F98" s="95"/>
      <c r="G98" s="96">
        <v>13.48326</v>
      </c>
      <c r="H98" s="97"/>
      <c r="I98" s="95"/>
      <c r="J98" s="95"/>
      <c r="K98" s="95"/>
      <c r="L98" s="95"/>
      <c r="M98" s="95"/>
      <c r="N98" s="95"/>
      <c r="O98" s="95"/>
      <c r="P98" s="95"/>
    </row>
    <row r="99" spans="1:76" s="81" customFormat="1" x14ac:dyDescent="0.25">
      <c r="A99" s="110"/>
      <c r="B99" s="95"/>
      <c r="C99" s="95"/>
      <c r="D99" s="76" t="s">
        <v>173</v>
      </c>
      <c r="E99" s="76" t="s">
        <v>54</v>
      </c>
      <c r="F99" s="95"/>
      <c r="G99" s="96">
        <v>100.688</v>
      </c>
      <c r="H99" s="97"/>
      <c r="I99" s="95"/>
      <c r="J99" s="95"/>
      <c r="K99" s="95"/>
      <c r="L99" s="95"/>
      <c r="M99" s="95"/>
      <c r="N99" s="95"/>
      <c r="O99" s="95"/>
      <c r="P99" s="95"/>
    </row>
    <row r="100" spans="1:76" s="81" customFormat="1" ht="25.5" x14ac:dyDescent="0.25">
      <c r="A100" s="110"/>
      <c r="B100" s="95"/>
      <c r="C100" s="95"/>
      <c r="D100" s="76" t="s">
        <v>54</v>
      </c>
      <c r="E100" s="76" t="s">
        <v>174</v>
      </c>
      <c r="F100" s="95"/>
      <c r="G100" s="96">
        <v>0</v>
      </c>
      <c r="H100" s="97"/>
      <c r="I100" s="95"/>
      <c r="J100" s="95"/>
      <c r="K100" s="95"/>
      <c r="L100" s="95"/>
      <c r="M100" s="95"/>
      <c r="N100" s="95"/>
      <c r="O100" s="95"/>
      <c r="P100" s="95"/>
    </row>
    <row r="101" spans="1:76" s="81" customFormat="1" x14ac:dyDescent="0.25">
      <c r="A101" s="110"/>
      <c r="B101" s="95"/>
      <c r="C101" s="95"/>
      <c r="D101" s="76" t="s">
        <v>175</v>
      </c>
      <c r="E101" s="76" t="s">
        <v>54</v>
      </c>
      <c r="F101" s="95"/>
      <c r="G101" s="96">
        <v>3.8780000000000001</v>
      </c>
      <c r="H101" s="97"/>
      <c r="I101" s="95"/>
      <c r="J101" s="95"/>
      <c r="K101" s="95"/>
      <c r="L101" s="95"/>
      <c r="M101" s="95"/>
      <c r="N101" s="95"/>
      <c r="O101" s="95"/>
      <c r="P101" s="95"/>
    </row>
    <row r="102" spans="1:76" s="81" customFormat="1" x14ac:dyDescent="0.25">
      <c r="A102" s="110"/>
      <c r="B102" s="95"/>
      <c r="C102" s="95"/>
      <c r="D102" s="76" t="s">
        <v>176</v>
      </c>
      <c r="E102" s="76" t="s">
        <v>54</v>
      </c>
      <c r="F102" s="95"/>
      <c r="G102" s="96">
        <v>4.4775</v>
      </c>
      <c r="H102" s="97"/>
      <c r="I102" s="95"/>
      <c r="J102" s="95"/>
      <c r="K102" s="95"/>
      <c r="L102" s="95"/>
      <c r="M102" s="95"/>
      <c r="N102" s="95"/>
      <c r="O102" s="95"/>
      <c r="P102" s="95"/>
    </row>
    <row r="103" spans="1:76" s="81" customFormat="1" ht="25.5" x14ac:dyDescent="0.25">
      <c r="A103" s="110"/>
      <c r="B103" s="95"/>
      <c r="C103" s="95"/>
      <c r="D103" s="76" t="s">
        <v>177</v>
      </c>
      <c r="E103" s="76" t="s">
        <v>54</v>
      </c>
      <c r="F103" s="95"/>
      <c r="G103" s="96">
        <v>12.63392</v>
      </c>
      <c r="H103" s="97"/>
      <c r="I103" s="95"/>
      <c r="J103" s="95"/>
      <c r="K103" s="95"/>
      <c r="L103" s="95"/>
      <c r="M103" s="95"/>
      <c r="N103" s="95"/>
      <c r="O103" s="95"/>
      <c r="P103" s="95"/>
    </row>
    <row r="104" spans="1:76" s="81" customFormat="1" x14ac:dyDescent="0.25">
      <c r="A104" s="110"/>
      <c r="B104" s="95"/>
      <c r="C104" s="95"/>
      <c r="D104" s="76" t="s">
        <v>178</v>
      </c>
      <c r="E104" s="76" t="s">
        <v>54</v>
      </c>
      <c r="F104" s="95"/>
      <c r="G104" s="96">
        <v>1.07813</v>
      </c>
      <c r="H104" s="97"/>
      <c r="I104" s="95"/>
      <c r="J104" s="95"/>
      <c r="K104" s="95"/>
      <c r="L104" s="95"/>
      <c r="M104" s="95"/>
      <c r="N104" s="95"/>
      <c r="O104" s="95"/>
      <c r="P104" s="95"/>
    </row>
    <row r="105" spans="1:76" s="81" customFormat="1" x14ac:dyDescent="0.25">
      <c r="A105" s="110"/>
      <c r="B105" s="95"/>
      <c r="C105" s="95"/>
      <c r="D105" s="76" t="s">
        <v>179</v>
      </c>
      <c r="E105" s="76" t="s">
        <v>54</v>
      </c>
      <c r="F105" s="95"/>
      <c r="G105" s="96">
        <v>0.66144000000000003</v>
      </c>
      <c r="H105" s="97"/>
      <c r="I105" s="95"/>
      <c r="J105" s="95"/>
      <c r="K105" s="95"/>
      <c r="L105" s="95"/>
      <c r="M105" s="95"/>
      <c r="N105" s="95"/>
      <c r="O105" s="95"/>
      <c r="P105" s="95"/>
    </row>
    <row r="106" spans="1:76" s="81" customFormat="1" x14ac:dyDescent="0.25">
      <c r="A106" s="110"/>
      <c r="B106" s="95"/>
      <c r="C106" s="95"/>
      <c r="D106" s="76" t="s">
        <v>180</v>
      </c>
      <c r="E106" s="76" t="s">
        <v>54</v>
      </c>
      <c r="F106" s="95"/>
      <c r="G106" s="96">
        <v>8.3427299999999995</v>
      </c>
      <c r="H106" s="97"/>
      <c r="I106" s="95"/>
      <c r="J106" s="95"/>
      <c r="K106" s="95"/>
      <c r="L106" s="95"/>
      <c r="M106" s="95"/>
      <c r="N106" s="95"/>
      <c r="O106" s="95"/>
      <c r="P106" s="95"/>
    </row>
    <row r="107" spans="1:76" s="81" customFormat="1" x14ac:dyDescent="0.25">
      <c r="A107" s="110"/>
      <c r="B107" s="95"/>
      <c r="C107" s="95"/>
      <c r="D107" s="76" t="s">
        <v>181</v>
      </c>
      <c r="E107" s="76" t="s">
        <v>54</v>
      </c>
      <c r="F107" s="95"/>
      <c r="G107" s="96">
        <v>0.30828</v>
      </c>
      <c r="H107" s="97"/>
      <c r="I107" s="95"/>
      <c r="J107" s="95"/>
      <c r="K107" s="95"/>
      <c r="L107" s="95"/>
      <c r="M107" s="95"/>
      <c r="N107" s="95"/>
      <c r="O107" s="95"/>
      <c r="P107" s="95"/>
    </row>
    <row r="108" spans="1:76" s="81" customFormat="1" x14ac:dyDescent="0.25">
      <c r="A108" s="110"/>
      <c r="B108" s="95"/>
      <c r="C108" s="95"/>
      <c r="D108" s="76" t="s">
        <v>54</v>
      </c>
      <c r="E108" s="76" t="s">
        <v>182</v>
      </c>
      <c r="F108" s="95"/>
      <c r="G108" s="96">
        <v>0</v>
      </c>
      <c r="H108" s="97"/>
      <c r="I108" s="95"/>
      <c r="J108" s="95"/>
      <c r="K108" s="95"/>
      <c r="L108" s="95"/>
      <c r="M108" s="95"/>
      <c r="N108" s="95"/>
      <c r="O108" s="95"/>
      <c r="P108" s="95"/>
    </row>
    <row r="109" spans="1:76" s="81" customFormat="1" x14ac:dyDescent="0.25">
      <c r="A109" s="110"/>
      <c r="B109" s="95"/>
      <c r="C109" s="95"/>
      <c r="D109" s="76" t="s">
        <v>183</v>
      </c>
      <c r="E109" s="76" t="s">
        <v>184</v>
      </c>
      <c r="F109" s="95"/>
      <c r="G109" s="96">
        <v>292.93675000000002</v>
      </c>
      <c r="H109" s="97"/>
      <c r="I109" s="95"/>
      <c r="J109" s="95"/>
      <c r="K109" s="95"/>
      <c r="L109" s="95"/>
      <c r="M109" s="95"/>
      <c r="N109" s="95"/>
      <c r="O109" s="95"/>
      <c r="P109" s="95"/>
    </row>
    <row r="110" spans="1:76" s="81" customFormat="1" x14ac:dyDescent="0.25">
      <c r="A110" s="110"/>
      <c r="B110" s="95"/>
      <c r="C110" s="95"/>
      <c r="D110" s="76" t="s">
        <v>185</v>
      </c>
      <c r="E110" s="76" t="s">
        <v>186</v>
      </c>
      <c r="F110" s="95"/>
      <c r="G110" s="96">
        <v>9.0040899999999997</v>
      </c>
      <c r="H110" s="97"/>
      <c r="I110" s="95"/>
      <c r="J110" s="95"/>
      <c r="K110" s="95"/>
      <c r="L110" s="95"/>
      <c r="M110" s="95"/>
      <c r="N110" s="95"/>
      <c r="O110" s="95"/>
      <c r="P110" s="95"/>
    </row>
    <row r="111" spans="1:76" s="81" customFormat="1" x14ac:dyDescent="0.25">
      <c r="A111" s="109" t="s">
        <v>54</v>
      </c>
      <c r="B111" s="74" t="s">
        <v>55</v>
      </c>
      <c r="C111" s="74" t="s">
        <v>187</v>
      </c>
      <c r="D111" s="180" t="s">
        <v>188</v>
      </c>
      <c r="E111" s="180"/>
      <c r="F111" s="85" t="s">
        <v>4</v>
      </c>
      <c r="G111" s="85" t="s">
        <v>4</v>
      </c>
      <c r="H111" s="98"/>
      <c r="I111" s="85" t="s">
        <v>4</v>
      </c>
      <c r="J111" s="86">
        <f>SUM(J112:J119)</f>
        <v>0</v>
      </c>
      <c r="K111" s="86">
        <f>SUM(K112:K119)</f>
        <v>0</v>
      </c>
      <c r="L111" s="86">
        <f>SUM(L112:L119)</f>
        <v>0</v>
      </c>
      <c r="M111" s="86">
        <f>SUM(M112:M119)</f>
        <v>0</v>
      </c>
      <c r="N111" s="87" t="s">
        <v>54</v>
      </c>
      <c r="O111" s="86">
        <f>SUM(O112:O119)</f>
        <v>0.15334063270000001</v>
      </c>
      <c r="P111" s="87" t="s">
        <v>54</v>
      </c>
      <c r="AI111" s="88" t="s">
        <v>55</v>
      </c>
      <c r="AS111" s="89">
        <f>SUM(AJ112:AJ119)</f>
        <v>0</v>
      </c>
      <c r="AT111" s="89">
        <f>SUM(AK112:AK119)</f>
        <v>0</v>
      </c>
      <c r="AU111" s="89">
        <f>SUM(AL112:AL119)</f>
        <v>0</v>
      </c>
    </row>
    <row r="112" spans="1:76" s="81" customFormat="1" x14ac:dyDescent="0.25">
      <c r="A112" s="66" t="s">
        <v>189</v>
      </c>
      <c r="B112" s="72" t="s">
        <v>55</v>
      </c>
      <c r="C112" s="72" t="s">
        <v>190</v>
      </c>
      <c r="D112" s="174" t="s">
        <v>191</v>
      </c>
      <c r="E112" s="174"/>
      <c r="F112" s="72" t="s">
        <v>192</v>
      </c>
      <c r="G112" s="90">
        <v>1606.02109</v>
      </c>
      <c r="H112" s="91"/>
      <c r="I112" s="92" t="s">
        <v>63</v>
      </c>
      <c r="J112" s="90">
        <f>G112*AO112</f>
        <v>0</v>
      </c>
      <c r="K112" s="90">
        <f>G112*AP112</f>
        <v>0</v>
      </c>
      <c r="L112" s="90">
        <f>G112*H112</f>
        <v>0</v>
      </c>
      <c r="M112" s="90">
        <f>L112*(1+BW112/100)</f>
        <v>0</v>
      </c>
      <c r="N112" s="90">
        <v>3.0000000000000001E-5</v>
      </c>
      <c r="O112" s="90">
        <f>G112*N112</f>
        <v>4.8180632700000003E-2</v>
      </c>
      <c r="P112" s="92" t="s">
        <v>64</v>
      </c>
      <c r="Z112" s="93">
        <f>IF(AQ112="5",BJ112,0)</f>
        <v>0</v>
      </c>
      <c r="AB112" s="93">
        <f>IF(AQ112="1",BH112,0)</f>
        <v>0</v>
      </c>
      <c r="AC112" s="93">
        <f>IF(AQ112="1",BI112,0)</f>
        <v>0</v>
      </c>
      <c r="AD112" s="93">
        <f>IF(AQ112="7",BH112,0)</f>
        <v>0</v>
      </c>
      <c r="AE112" s="93">
        <f>IF(AQ112="7",BI112,0)</f>
        <v>0</v>
      </c>
      <c r="AF112" s="93">
        <f>IF(AQ112="2",BH112,0)</f>
        <v>0</v>
      </c>
      <c r="AG112" s="93">
        <f>IF(AQ112="2",BI112,0)</f>
        <v>0</v>
      </c>
      <c r="AH112" s="93">
        <f>IF(AQ112="0",BJ112,0)</f>
        <v>0</v>
      </c>
      <c r="AI112" s="88" t="s">
        <v>55</v>
      </c>
      <c r="AJ112" s="93">
        <f>IF(AN112=0,L112,0)</f>
        <v>0</v>
      </c>
      <c r="AK112" s="93">
        <f>IF(AN112=12,L112,0)</f>
        <v>0</v>
      </c>
      <c r="AL112" s="93">
        <f>IF(AN112=21,L112,0)</f>
        <v>0</v>
      </c>
      <c r="AN112" s="93">
        <v>21</v>
      </c>
      <c r="AO112" s="93">
        <f>H112*0.031352269</f>
        <v>0</v>
      </c>
      <c r="AP112" s="93">
        <f>H112*(1-0.031352269)</f>
        <v>0</v>
      </c>
      <c r="AQ112" s="94" t="s">
        <v>59</v>
      </c>
      <c r="AV112" s="93">
        <f>AW112+AX112</f>
        <v>0</v>
      </c>
      <c r="AW112" s="93">
        <f>G112*AO112</f>
        <v>0</v>
      </c>
      <c r="AX112" s="93">
        <f>G112*AP112</f>
        <v>0</v>
      </c>
      <c r="AY112" s="94" t="s">
        <v>193</v>
      </c>
      <c r="AZ112" s="94" t="s">
        <v>66</v>
      </c>
      <c r="BA112" s="88" t="s">
        <v>67</v>
      </c>
      <c r="BC112" s="93">
        <f>AW112+AX112</f>
        <v>0</v>
      </c>
      <c r="BD112" s="93">
        <f>H112/(100-BE112)*100</f>
        <v>0</v>
      </c>
      <c r="BE112" s="93">
        <v>0</v>
      </c>
      <c r="BF112" s="93">
        <f>O112</f>
        <v>4.8180632700000003E-2</v>
      </c>
      <c r="BH112" s="93">
        <f>G112*AO112</f>
        <v>0</v>
      </c>
      <c r="BI112" s="93">
        <f>G112*AP112</f>
        <v>0</v>
      </c>
      <c r="BJ112" s="93">
        <f>G112*H112</f>
        <v>0</v>
      </c>
      <c r="BK112" s="93"/>
      <c r="BL112" s="93">
        <v>18</v>
      </c>
      <c r="BW112" s="93" t="str">
        <f>I112</f>
        <v>21</v>
      </c>
      <c r="BX112" s="2" t="s">
        <v>191</v>
      </c>
    </row>
    <row r="113" spans="1:76" s="81" customFormat="1" ht="13.5" customHeight="1" x14ac:dyDescent="0.25">
      <c r="A113" s="110"/>
      <c r="B113" s="95"/>
      <c r="C113" s="95"/>
      <c r="D113" s="179" t="s">
        <v>194</v>
      </c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</row>
    <row r="114" spans="1:76" s="81" customFormat="1" x14ac:dyDescent="0.25">
      <c r="A114" s="110"/>
      <c r="B114" s="95"/>
      <c r="C114" s="95"/>
      <c r="D114" s="76" t="s">
        <v>54</v>
      </c>
      <c r="E114" s="76" t="s">
        <v>195</v>
      </c>
      <c r="F114" s="95"/>
      <c r="G114" s="96">
        <v>0</v>
      </c>
      <c r="H114" s="97"/>
      <c r="I114" s="95"/>
      <c r="J114" s="95"/>
      <c r="K114" s="95"/>
      <c r="L114" s="95"/>
      <c r="M114" s="95"/>
      <c r="N114" s="95"/>
      <c r="O114" s="95"/>
      <c r="P114" s="95"/>
    </row>
    <row r="115" spans="1:76" s="81" customFormat="1" ht="25.5" x14ac:dyDescent="0.25">
      <c r="A115" s="110"/>
      <c r="B115" s="95"/>
      <c r="C115" s="95"/>
      <c r="D115" s="76" t="s">
        <v>196</v>
      </c>
      <c r="E115" s="76" t="s">
        <v>54</v>
      </c>
      <c r="F115" s="95"/>
      <c r="G115" s="96">
        <v>415.33807999999999</v>
      </c>
      <c r="H115" s="97"/>
      <c r="I115" s="95"/>
      <c r="J115" s="95"/>
      <c r="K115" s="95"/>
      <c r="L115" s="95"/>
      <c r="M115" s="95"/>
      <c r="N115" s="95"/>
      <c r="O115" s="95"/>
      <c r="P115" s="95"/>
    </row>
    <row r="116" spans="1:76" s="81" customFormat="1" x14ac:dyDescent="0.25">
      <c r="A116" s="110"/>
      <c r="B116" s="95"/>
      <c r="C116" s="95"/>
      <c r="D116" s="76" t="s">
        <v>197</v>
      </c>
      <c r="E116" s="76" t="s">
        <v>54</v>
      </c>
      <c r="F116" s="95"/>
      <c r="G116" s="96">
        <v>133.40001000000001</v>
      </c>
      <c r="H116" s="97"/>
      <c r="I116" s="95"/>
      <c r="J116" s="95"/>
      <c r="K116" s="95"/>
      <c r="L116" s="95"/>
      <c r="M116" s="95"/>
      <c r="N116" s="95"/>
      <c r="O116" s="95"/>
      <c r="P116" s="95"/>
    </row>
    <row r="117" spans="1:76" s="81" customFormat="1" x14ac:dyDescent="0.25">
      <c r="A117" s="110"/>
      <c r="B117" s="95"/>
      <c r="C117" s="95"/>
      <c r="D117" s="76" t="s">
        <v>198</v>
      </c>
      <c r="E117" s="76" t="s">
        <v>54</v>
      </c>
      <c r="F117" s="95"/>
      <c r="G117" s="96">
        <v>998.40800000000002</v>
      </c>
      <c r="H117" s="97"/>
      <c r="I117" s="95"/>
      <c r="J117" s="95"/>
      <c r="K117" s="95"/>
      <c r="L117" s="95"/>
      <c r="M117" s="95"/>
      <c r="N117" s="95"/>
      <c r="O117" s="95"/>
      <c r="P117" s="95"/>
    </row>
    <row r="118" spans="1:76" s="81" customFormat="1" x14ac:dyDescent="0.25">
      <c r="A118" s="110"/>
      <c r="B118" s="95"/>
      <c r="C118" s="95"/>
      <c r="D118" s="76" t="s">
        <v>199</v>
      </c>
      <c r="E118" s="76" t="s">
        <v>54</v>
      </c>
      <c r="F118" s="95"/>
      <c r="G118" s="96">
        <v>58.875</v>
      </c>
      <c r="H118" s="97"/>
      <c r="I118" s="95"/>
      <c r="J118" s="95"/>
      <c r="K118" s="95"/>
      <c r="L118" s="95"/>
      <c r="M118" s="95"/>
      <c r="N118" s="95"/>
      <c r="O118" s="95"/>
      <c r="P118" s="95"/>
    </row>
    <row r="119" spans="1:76" s="81" customFormat="1" x14ac:dyDescent="0.25">
      <c r="A119" s="66" t="s">
        <v>200</v>
      </c>
      <c r="B119" s="72" t="s">
        <v>55</v>
      </c>
      <c r="C119" s="72" t="s">
        <v>201</v>
      </c>
      <c r="D119" s="174" t="s">
        <v>202</v>
      </c>
      <c r="E119" s="174"/>
      <c r="F119" s="72" t="s">
        <v>203</v>
      </c>
      <c r="G119" s="90">
        <v>2</v>
      </c>
      <c r="H119" s="91"/>
      <c r="I119" s="92" t="s">
        <v>63</v>
      </c>
      <c r="J119" s="90">
        <f>G119*AO119</f>
        <v>0</v>
      </c>
      <c r="K119" s="90">
        <f>G119*AP119</f>
        <v>0</v>
      </c>
      <c r="L119" s="90">
        <f>G119*H119</f>
        <v>0</v>
      </c>
      <c r="M119" s="90">
        <f>L119*(1+BW119/100)</f>
        <v>0</v>
      </c>
      <c r="N119" s="90">
        <v>5.2580000000000002E-2</v>
      </c>
      <c r="O119" s="90">
        <f>G119*N119</f>
        <v>0.10516</v>
      </c>
      <c r="P119" s="92" t="s">
        <v>64</v>
      </c>
      <c r="Z119" s="93">
        <f>IF(AQ119="5",BJ119,0)</f>
        <v>0</v>
      </c>
      <c r="AB119" s="93">
        <f>IF(AQ119="1",BH119,0)</f>
        <v>0</v>
      </c>
      <c r="AC119" s="93">
        <f>IF(AQ119="1",BI119,0)</f>
        <v>0</v>
      </c>
      <c r="AD119" s="93">
        <f>IF(AQ119="7",BH119,0)</f>
        <v>0</v>
      </c>
      <c r="AE119" s="93">
        <f>IF(AQ119="7",BI119,0)</f>
        <v>0</v>
      </c>
      <c r="AF119" s="93">
        <f>IF(AQ119="2",BH119,0)</f>
        <v>0</v>
      </c>
      <c r="AG119" s="93">
        <f>IF(AQ119="2",BI119,0)</f>
        <v>0</v>
      </c>
      <c r="AH119" s="93">
        <f>IF(AQ119="0",BJ119,0)</f>
        <v>0</v>
      </c>
      <c r="AI119" s="88" t="s">
        <v>55</v>
      </c>
      <c r="AJ119" s="93">
        <f>IF(AN119=0,L119,0)</f>
        <v>0</v>
      </c>
      <c r="AK119" s="93">
        <f>IF(AN119=12,L119,0)</f>
        <v>0</v>
      </c>
      <c r="AL119" s="93">
        <f>IF(AN119=21,L119,0)</f>
        <v>0</v>
      </c>
      <c r="AN119" s="93">
        <v>21</v>
      </c>
      <c r="AO119" s="93">
        <f>H119*0.559954092</f>
        <v>0</v>
      </c>
      <c r="AP119" s="93">
        <f>H119*(1-0.559954092)</f>
        <v>0</v>
      </c>
      <c r="AQ119" s="94" t="s">
        <v>59</v>
      </c>
      <c r="AV119" s="93">
        <f>AW119+AX119</f>
        <v>0</v>
      </c>
      <c r="AW119" s="93">
        <f>G119*AO119</f>
        <v>0</v>
      </c>
      <c r="AX119" s="93">
        <f>G119*AP119</f>
        <v>0</v>
      </c>
      <c r="AY119" s="94" t="s">
        <v>193</v>
      </c>
      <c r="AZ119" s="94" t="s">
        <v>66</v>
      </c>
      <c r="BA119" s="88" t="s">
        <v>67</v>
      </c>
      <c r="BC119" s="93">
        <f>AW119+AX119</f>
        <v>0</v>
      </c>
      <c r="BD119" s="93">
        <f>H119/(100-BE119)*100</f>
        <v>0</v>
      </c>
      <c r="BE119" s="93">
        <v>0</v>
      </c>
      <c r="BF119" s="93">
        <f>O119</f>
        <v>0.10516</v>
      </c>
      <c r="BH119" s="93">
        <f>G119*AO119</f>
        <v>0</v>
      </c>
      <c r="BI119" s="93">
        <f>G119*AP119</f>
        <v>0</v>
      </c>
      <c r="BJ119" s="93">
        <f>G119*H119</f>
        <v>0</v>
      </c>
      <c r="BK119" s="93"/>
      <c r="BL119" s="93">
        <v>18</v>
      </c>
      <c r="BW119" s="93" t="str">
        <f>I119</f>
        <v>21</v>
      </c>
      <c r="BX119" s="2" t="s">
        <v>202</v>
      </c>
    </row>
    <row r="120" spans="1:76" s="81" customFormat="1" x14ac:dyDescent="0.25">
      <c r="A120" s="109" t="s">
        <v>54</v>
      </c>
      <c r="B120" s="74" t="s">
        <v>55</v>
      </c>
      <c r="C120" s="74" t="s">
        <v>63</v>
      </c>
      <c r="D120" s="180" t="s">
        <v>204</v>
      </c>
      <c r="E120" s="180"/>
      <c r="F120" s="85" t="s">
        <v>4</v>
      </c>
      <c r="G120" s="85" t="s">
        <v>4</v>
      </c>
      <c r="H120" s="98"/>
      <c r="I120" s="85" t="s">
        <v>4</v>
      </c>
      <c r="J120" s="86">
        <f>SUM(J121:J123)</f>
        <v>0</v>
      </c>
      <c r="K120" s="86">
        <f>SUM(K121:K123)</f>
        <v>0</v>
      </c>
      <c r="L120" s="86">
        <f>SUM(L121:L123)</f>
        <v>0</v>
      </c>
      <c r="M120" s="86">
        <f>SUM(M121:M123)</f>
        <v>0</v>
      </c>
      <c r="N120" s="87" t="s">
        <v>54</v>
      </c>
      <c r="O120" s="86">
        <f>SUM(O121:O123)</f>
        <v>126.33195585000001</v>
      </c>
      <c r="P120" s="87" t="s">
        <v>54</v>
      </c>
      <c r="AI120" s="88" t="s">
        <v>55</v>
      </c>
      <c r="AS120" s="89">
        <f>SUM(AJ121:AJ123)</f>
        <v>0</v>
      </c>
      <c r="AT120" s="89">
        <f>SUM(AK121:AK123)</f>
        <v>0</v>
      </c>
      <c r="AU120" s="89">
        <f>SUM(AL121:AL123)</f>
        <v>0</v>
      </c>
    </row>
    <row r="121" spans="1:76" s="81" customFormat="1" x14ac:dyDescent="0.25">
      <c r="A121" s="66" t="s">
        <v>57</v>
      </c>
      <c r="B121" s="72" t="s">
        <v>55</v>
      </c>
      <c r="C121" s="72" t="s">
        <v>205</v>
      </c>
      <c r="D121" s="174" t="s">
        <v>206</v>
      </c>
      <c r="E121" s="174"/>
      <c r="F121" s="72" t="s">
        <v>192</v>
      </c>
      <c r="G121" s="90">
        <v>1479.63</v>
      </c>
      <c r="H121" s="91"/>
      <c r="I121" s="92" t="s">
        <v>63</v>
      </c>
      <c r="J121" s="90">
        <f>G121*AO121</f>
        <v>0</v>
      </c>
      <c r="K121" s="90">
        <f>G121*AP121</f>
        <v>0</v>
      </c>
      <c r="L121" s="90">
        <f>G121*H121</f>
        <v>0</v>
      </c>
      <c r="M121" s="90">
        <f>L121*(1+BW121/100)</f>
        <v>0</v>
      </c>
      <c r="N121" s="90">
        <v>0</v>
      </c>
      <c r="O121" s="90">
        <f>G121*N121</f>
        <v>0</v>
      </c>
      <c r="P121" s="92" t="s">
        <v>64</v>
      </c>
      <c r="Z121" s="93">
        <f>IF(AQ121="5",BJ121,0)</f>
        <v>0</v>
      </c>
      <c r="AB121" s="93">
        <f>IF(AQ121="1",BH121,0)</f>
        <v>0</v>
      </c>
      <c r="AC121" s="93">
        <f>IF(AQ121="1",BI121,0)</f>
        <v>0</v>
      </c>
      <c r="AD121" s="93">
        <f>IF(AQ121="7",BH121,0)</f>
        <v>0</v>
      </c>
      <c r="AE121" s="93">
        <f>IF(AQ121="7",BI121,0)</f>
        <v>0</v>
      </c>
      <c r="AF121" s="93">
        <f>IF(AQ121="2",BH121,0)</f>
        <v>0</v>
      </c>
      <c r="AG121" s="93">
        <f>IF(AQ121="2",BI121,0)</f>
        <v>0</v>
      </c>
      <c r="AH121" s="93">
        <f>IF(AQ121="0",BJ121,0)</f>
        <v>0</v>
      </c>
      <c r="AI121" s="88" t="s">
        <v>55</v>
      </c>
      <c r="AJ121" s="93">
        <f>IF(AN121=0,L121,0)</f>
        <v>0</v>
      </c>
      <c r="AK121" s="93">
        <f>IF(AN121=12,L121,0)</f>
        <v>0</v>
      </c>
      <c r="AL121" s="93">
        <f>IF(AN121=21,L121,0)</f>
        <v>0</v>
      </c>
      <c r="AN121" s="93">
        <v>21</v>
      </c>
      <c r="AO121" s="93">
        <f>H121*0</f>
        <v>0</v>
      </c>
      <c r="AP121" s="93">
        <f>H121*(1-0)</f>
        <v>0</v>
      </c>
      <c r="AQ121" s="94" t="s">
        <v>59</v>
      </c>
      <c r="AV121" s="93">
        <f>AW121+AX121</f>
        <v>0</v>
      </c>
      <c r="AW121" s="93">
        <f>G121*AO121</f>
        <v>0</v>
      </c>
      <c r="AX121" s="93">
        <f>G121*AP121</f>
        <v>0</v>
      </c>
      <c r="AY121" s="94" t="s">
        <v>207</v>
      </c>
      <c r="AZ121" s="94" t="s">
        <v>208</v>
      </c>
      <c r="BA121" s="88" t="s">
        <v>67</v>
      </c>
      <c r="BC121" s="93">
        <f>AW121+AX121</f>
        <v>0</v>
      </c>
      <c r="BD121" s="93">
        <f>H121/(100-BE121)*100</f>
        <v>0</v>
      </c>
      <c r="BE121" s="93">
        <v>0</v>
      </c>
      <c r="BF121" s="93">
        <f>O121</f>
        <v>0</v>
      </c>
      <c r="BH121" s="93">
        <f>G121*AO121</f>
        <v>0</v>
      </c>
      <c r="BI121" s="93">
        <f>G121*AP121</f>
        <v>0</v>
      </c>
      <c r="BJ121" s="93">
        <f>G121*H121</f>
        <v>0</v>
      </c>
      <c r="BK121" s="93"/>
      <c r="BL121" s="93">
        <v>21</v>
      </c>
      <c r="BW121" s="93" t="str">
        <f>I121</f>
        <v>21</v>
      </c>
      <c r="BX121" s="2" t="s">
        <v>206</v>
      </c>
    </row>
    <row r="122" spans="1:76" s="81" customFormat="1" x14ac:dyDescent="0.25">
      <c r="A122" s="110"/>
      <c r="B122" s="95"/>
      <c r="C122" s="95"/>
      <c r="D122" s="76" t="s">
        <v>209</v>
      </c>
      <c r="E122" s="76" t="s">
        <v>125</v>
      </c>
      <c r="F122" s="95"/>
      <c r="G122" s="96">
        <v>1479.63</v>
      </c>
      <c r="H122" s="97"/>
      <c r="I122" s="95"/>
      <c r="J122" s="95"/>
      <c r="K122" s="95"/>
      <c r="L122" s="95"/>
      <c r="M122" s="95"/>
      <c r="N122" s="95"/>
      <c r="O122" s="95"/>
      <c r="P122" s="95"/>
    </row>
    <row r="123" spans="1:76" s="81" customFormat="1" x14ac:dyDescent="0.25">
      <c r="A123" s="66" t="s">
        <v>210</v>
      </c>
      <c r="B123" s="72" t="s">
        <v>55</v>
      </c>
      <c r="C123" s="72" t="s">
        <v>211</v>
      </c>
      <c r="D123" s="174" t="s">
        <v>212</v>
      </c>
      <c r="E123" s="174"/>
      <c r="F123" s="72" t="s">
        <v>213</v>
      </c>
      <c r="G123" s="90">
        <v>297.03500000000003</v>
      </c>
      <c r="H123" s="91"/>
      <c r="I123" s="92" t="s">
        <v>63</v>
      </c>
      <c r="J123" s="90">
        <f>G123*AO123</f>
        <v>0</v>
      </c>
      <c r="K123" s="90">
        <f>G123*AP123</f>
        <v>0</v>
      </c>
      <c r="L123" s="90">
        <f>G123*H123</f>
        <v>0</v>
      </c>
      <c r="M123" s="90">
        <f>L123*(1+BW123/100)</f>
        <v>0</v>
      </c>
      <c r="N123" s="90">
        <v>0.42531000000000002</v>
      </c>
      <c r="O123" s="90">
        <f>G123*N123</f>
        <v>126.33195585000001</v>
      </c>
      <c r="P123" s="92" t="s">
        <v>64</v>
      </c>
      <c r="Z123" s="93">
        <f>IF(AQ123="5",BJ123,0)</f>
        <v>0</v>
      </c>
      <c r="AB123" s="93">
        <f>IF(AQ123="1",BH123,0)</f>
        <v>0</v>
      </c>
      <c r="AC123" s="93">
        <f>IF(AQ123="1",BI123,0)</f>
        <v>0</v>
      </c>
      <c r="AD123" s="93">
        <f>IF(AQ123="7",BH123,0)</f>
        <v>0</v>
      </c>
      <c r="AE123" s="93">
        <f>IF(AQ123="7",BI123,0)</f>
        <v>0</v>
      </c>
      <c r="AF123" s="93">
        <f>IF(AQ123="2",BH123,0)</f>
        <v>0</v>
      </c>
      <c r="AG123" s="93">
        <f>IF(AQ123="2",BI123,0)</f>
        <v>0</v>
      </c>
      <c r="AH123" s="93">
        <f>IF(AQ123="0",BJ123,0)</f>
        <v>0</v>
      </c>
      <c r="AI123" s="88" t="s">
        <v>55</v>
      </c>
      <c r="AJ123" s="93">
        <f>IF(AN123=0,L123,0)</f>
        <v>0</v>
      </c>
      <c r="AK123" s="93">
        <f>IF(AN123=12,L123,0)</f>
        <v>0</v>
      </c>
      <c r="AL123" s="93">
        <f>IF(AN123=21,L123,0)</f>
        <v>0</v>
      </c>
      <c r="AN123" s="93">
        <v>21</v>
      </c>
      <c r="AO123" s="93">
        <f>H123*0.69008063</f>
        <v>0</v>
      </c>
      <c r="AP123" s="93">
        <f>H123*(1-0.69008063)</f>
        <v>0</v>
      </c>
      <c r="AQ123" s="94" t="s">
        <v>59</v>
      </c>
      <c r="AV123" s="93">
        <f>AW123+AX123</f>
        <v>0</v>
      </c>
      <c r="AW123" s="93">
        <f>G123*AO123</f>
        <v>0</v>
      </c>
      <c r="AX123" s="93">
        <f>G123*AP123</f>
        <v>0</v>
      </c>
      <c r="AY123" s="94" t="s">
        <v>207</v>
      </c>
      <c r="AZ123" s="94" t="s">
        <v>208</v>
      </c>
      <c r="BA123" s="88" t="s">
        <v>67</v>
      </c>
      <c r="BC123" s="93">
        <f>AW123+AX123</f>
        <v>0</v>
      </c>
      <c r="BD123" s="93">
        <f>H123/(100-BE123)*100</f>
        <v>0</v>
      </c>
      <c r="BE123" s="93">
        <v>0</v>
      </c>
      <c r="BF123" s="93">
        <f>O123</f>
        <v>126.33195585000001</v>
      </c>
      <c r="BH123" s="93">
        <f>G123*AO123</f>
        <v>0</v>
      </c>
      <c r="BI123" s="93">
        <f>G123*AP123</f>
        <v>0</v>
      </c>
      <c r="BJ123" s="93">
        <f>G123*H123</f>
        <v>0</v>
      </c>
      <c r="BK123" s="93"/>
      <c r="BL123" s="93">
        <v>21</v>
      </c>
      <c r="BW123" s="93" t="str">
        <f>I123</f>
        <v>21</v>
      </c>
      <c r="BX123" s="2" t="s">
        <v>212</v>
      </c>
    </row>
    <row r="124" spans="1:76" s="81" customFormat="1" ht="13.5" customHeight="1" x14ac:dyDescent="0.25">
      <c r="A124" s="110"/>
      <c r="B124" s="95"/>
      <c r="C124" s="95"/>
      <c r="D124" s="179" t="s">
        <v>214</v>
      </c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</row>
    <row r="125" spans="1:76" s="81" customFormat="1" x14ac:dyDescent="0.25">
      <c r="A125" s="110"/>
      <c r="B125" s="95"/>
      <c r="C125" s="95"/>
      <c r="D125" s="76" t="s">
        <v>54</v>
      </c>
      <c r="E125" s="76" t="s">
        <v>215</v>
      </c>
      <c r="F125" s="95"/>
      <c r="G125" s="96">
        <v>0</v>
      </c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1:76" s="81" customFormat="1" ht="38.25" x14ac:dyDescent="0.25">
      <c r="A126" s="110"/>
      <c r="B126" s="95"/>
      <c r="C126" s="95"/>
      <c r="D126" s="76" t="s">
        <v>216</v>
      </c>
      <c r="E126" s="76" t="s">
        <v>54</v>
      </c>
      <c r="F126" s="95"/>
      <c r="G126" s="96">
        <v>297.03500000000003</v>
      </c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1:76" s="81" customFormat="1" x14ac:dyDescent="0.25">
      <c r="A127" s="109" t="s">
        <v>54</v>
      </c>
      <c r="B127" s="74" t="s">
        <v>55</v>
      </c>
      <c r="C127" s="74" t="s">
        <v>217</v>
      </c>
      <c r="D127" s="180" t="s">
        <v>218</v>
      </c>
      <c r="E127" s="180"/>
      <c r="F127" s="85" t="s">
        <v>4</v>
      </c>
      <c r="G127" s="85" t="s">
        <v>4</v>
      </c>
      <c r="H127" s="98"/>
      <c r="I127" s="85" t="s">
        <v>4</v>
      </c>
      <c r="J127" s="86">
        <f>SUM(J128:J206)</f>
        <v>0</v>
      </c>
      <c r="K127" s="86">
        <f>SUM(K128:K206)</f>
        <v>0</v>
      </c>
      <c r="L127" s="86">
        <f>SUM(L128:L206)</f>
        <v>0</v>
      </c>
      <c r="M127" s="86">
        <f>SUM(M128:M206)</f>
        <v>0</v>
      </c>
      <c r="N127" s="87" t="s">
        <v>54</v>
      </c>
      <c r="O127" s="86">
        <f>SUM(O128:O206)</f>
        <v>683.22600294319989</v>
      </c>
      <c r="P127" s="87" t="s">
        <v>54</v>
      </c>
      <c r="AI127" s="88" t="s">
        <v>55</v>
      </c>
      <c r="AS127" s="89">
        <f>SUM(AJ128:AJ206)</f>
        <v>0</v>
      </c>
      <c r="AT127" s="89">
        <f>SUM(AK128:AK206)</f>
        <v>0</v>
      </c>
      <c r="AU127" s="89">
        <f>SUM(AL128:AL206)</f>
        <v>0</v>
      </c>
    </row>
    <row r="128" spans="1:76" s="81" customFormat="1" x14ac:dyDescent="0.25">
      <c r="A128" s="66" t="s">
        <v>219</v>
      </c>
      <c r="B128" s="72" t="s">
        <v>55</v>
      </c>
      <c r="C128" s="72" t="s">
        <v>220</v>
      </c>
      <c r="D128" s="174" t="s">
        <v>221</v>
      </c>
      <c r="E128" s="174"/>
      <c r="F128" s="72" t="s">
        <v>222</v>
      </c>
      <c r="G128" s="90">
        <v>7.4050000000000002</v>
      </c>
      <c r="H128" s="91"/>
      <c r="I128" s="92" t="s">
        <v>63</v>
      </c>
      <c r="J128" s="90">
        <f>G128*AO128</f>
        <v>0</v>
      </c>
      <c r="K128" s="90">
        <f>G128*AP128</f>
        <v>0</v>
      </c>
      <c r="L128" s="90">
        <f>G128*H128</f>
        <v>0</v>
      </c>
      <c r="M128" s="90">
        <f>L128*(1+BW128/100)</f>
        <v>0</v>
      </c>
      <c r="N128" s="90">
        <v>1.0211600000000001</v>
      </c>
      <c r="O128" s="90">
        <f>G128*N128</f>
        <v>7.5616898000000008</v>
      </c>
      <c r="P128" s="92" t="s">
        <v>64</v>
      </c>
      <c r="Z128" s="93">
        <f>IF(AQ128="5",BJ128,0)</f>
        <v>0</v>
      </c>
      <c r="AB128" s="93">
        <f>IF(AQ128="1",BH128,0)</f>
        <v>0</v>
      </c>
      <c r="AC128" s="93">
        <f>IF(AQ128="1",BI128,0)</f>
        <v>0</v>
      </c>
      <c r="AD128" s="93">
        <f>IF(AQ128="7",BH128,0)</f>
        <v>0</v>
      </c>
      <c r="AE128" s="93">
        <f>IF(AQ128="7",BI128,0)</f>
        <v>0</v>
      </c>
      <c r="AF128" s="93">
        <f>IF(AQ128="2",BH128,0)</f>
        <v>0</v>
      </c>
      <c r="AG128" s="93">
        <f>IF(AQ128="2",BI128,0)</f>
        <v>0</v>
      </c>
      <c r="AH128" s="93">
        <f>IF(AQ128="0",BJ128,0)</f>
        <v>0</v>
      </c>
      <c r="AI128" s="88" t="s">
        <v>55</v>
      </c>
      <c r="AJ128" s="93">
        <f>IF(AN128=0,L128,0)</f>
        <v>0</v>
      </c>
      <c r="AK128" s="93">
        <f>IF(AN128=12,L128,0)</f>
        <v>0</v>
      </c>
      <c r="AL128" s="93">
        <f>IF(AN128=21,L128,0)</f>
        <v>0</v>
      </c>
      <c r="AN128" s="93">
        <v>21</v>
      </c>
      <c r="AO128" s="93">
        <f>H128*0.752496574</f>
        <v>0</v>
      </c>
      <c r="AP128" s="93">
        <f>H128*(1-0.752496574)</f>
        <v>0</v>
      </c>
      <c r="AQ128" s="94" t="s">
        <v>59</v>
      </c>
      <c r="AV128" s="93">
        <f>AW128+AX128</f>
        <v>0</v>
      </c>
      <c r="AW128" s="93">
        <f>G128*AO128</f>
        <v>0</v>
      </c>
      <c r="AX128" s="93">
        <f>G128*AP128</f>
        <v>0</v>
      </c>
      <c r="AY128" s="94" t="s">
        <v>223</v>
      </c>
      <c r="AZ128" s="94" t="s">
        <v>208</v>
      </c>
      <c r="BA128" s="88" t="s">
        <v>67</v>
      </c>
      <c r="BC128" s="93">
        <f>AW128+AX128</f>
        <v>0</v>
      </c>
      <c r="BD128" s="93">
        <f>H128/(100-BE128)*100</f>
        <v>0</v>
      </c>
      <c r="BE128" s="93">
        <v>0</v>
      </c>
      <c r="BF128" s="93">
        <f>O128</f>
        <v>7.5616898000000008</v>
      </c>
      <c r="BH128" s="93">
        <f>G128*AO128</f>
        <v>0</v>
      </c>
      <c r="BI128" s="93">
        <f>G128*AP128</f>
        <v>0</v>
      </c>
      <c r="BJ128" s="93">
        <f>G128*H128</f>
        <v>0</v>
      </c>
      <c r="BK128" s="93"/>
      <c r="BL128" s="93">
        <v>27</v>
      </c>
      <c r="BW128" s="93" t="str">
        <f>I128</f>
        <v>21</v>
      </c>
      <c r="BX128" s="2" t="s">
        <v>221</v>
      </c>
    </row>
    <row r="129" spans="1:76" s="81" customFormat="1" x14ac:dyDescent="0.25">
      <c r="A129" s="110"/>
      <c r="B129" s="95"/>
      <c r="C129" s="95"/>
      <c r="D129" s="76" t="s">
        <v>224</v>
      </c>
      <c r="E129" s="76" t="s">
        <v>225</v>
      </c>
      <c r="F129" s="95"/>
      <c r="G129" s="96">
        <v>7.4050000000000002</v>
      </c>
      <c r="H129" s="97"/>
      <c r="I129" s="95"/>
      <c r="J129" s="95"/>
      <c r="K129" s="95"/>
      <c r="L129" s="95"/>
      <c r="M129" s="95"/>
      <c r="N129" s="95"/>
      <c r="O129" s="95"/>
      <c r="P129" s="95"/>
    </row>
    <row r="130" spans="1:76" s="81" customFormat="1" x14ac:dyDescent="0.25">
      <c r="A130" s="66" t="s">
        <v>134</v>
      </c>
      <c r="B130" s="72" t="s">
        <v>55</v>
      </c>
      <c r="C130" s="72" t="s">
        <v>226</v>
      </c>
      <c r="D130" s="174" t="s">
        <v>227</v>
      </c>
      <c r="E130" s="174"/>
      <c r="F130" s="72" t="s">
        <v>62</v>
      </c>
      <c r="G130" s="90">
        <v>14.67695</v>
      </c>
      <c r="H130" s="91"/>
      <c r="I130" s="92" t="s">
        <v>63</v>
      </c>
      <c r="J130" s="90">
        <f>G130*AO130</f>
        <v>0</v>
      </c>
      <c r="K130" s="90">
        <f>G130*AP130</f>
        <v>0</v>
      </c>
      <c r="L130" s="90">
        <f>G130*H130</f>
        <v>0</v>
      </c>
      <c r="M130" s="90">
        <f>L130*(1+BW130/100)</f>
        <v>0</v>
      </c>
      <c r="N130" s="90">
        <v>2.5249999999999999</v>
      </c>
      <c r="O130" s="90">
        <f>G130*N130</f>
        <v>37.059298749999996</v>
      </c>
      <c r="P130" s="92" t="s">
        <v>64</v>
      </c>
      <c r="Z130" s="93">
        <f>IF(AQ130="5",BJ130,0)</f>
        <v>0</v>
      </c>
      <c r="AB130" s="93">
        <f>IF(AQ130="1",BH130,0)</f>
        <v>0</v>
      </c>
      <c r="AC130" s="93">
        <f>IF(AQ130="1",BI130,0)</f>
        <v>0</v>
      </c>
      <c r="AD130" s="93">
        <f>IF(AQ130="7",BH130,0)</f>
        <v>0</v>
      </c>
      <c r="AE130" s="93">
        <f>IF(AQ130="7",BI130,0)</f>
        <v>0</v>
      </c>
      <c r="AF130" s="93">
        <f>IF(AQ130="2",BH130,0)</f>
        <v>0</v>
      </c>
      <c r="AG130" s="93">
        <f>IF(AQ130="2",BI130,0)</f>
        <v>0</v>
      </c>
      <c r="AH130" s="93">
        <f>IF(AQ130="0",BJ130,0)</f>
        <v>0</v>
      </c>
      <c r="AI130" s="88" t="s">
        <v>55</v>
      </c>
      <c r="AJ130" s="93">
        <f>IF(AN130=0,L130,0)</f>
        <v>0</v>
      </c>
      <c r="AK130" s="93">
        <f>IF(AN130=12,L130,0)</f>
        <v>0</v>
      </c>
      <c r="AL130" s="93">
        <f>IF(AN130=21,L130,0)</f>
        <v>0</v>
      </c>
      <c r="AN130" s="93">
        <v>21</v>
      </c>
      <c r="AO130" s="93">
        <f>H130*0.920982741</f>
        <v>0</v>
      </c>
      <c r="AP130" s="93">
        <f>H130*(1-0.920982741)</f>
        <v>0</v>
      </c>
      <c r="AQ130" s="94" t="s">
        <v>59</v>
      </c>
      <c r="AV130" s="93">
        <f>AW130+AX130</f>
        <v>0</v>
      </c>
      <c r="AW130" s="93">
        <f>G130*AO130</f>
        <v>0</v>
      </c>
      <c r="AX130" s="93">
        <f>G130*AP130</f>
        <v>0</v>
      </c>
      <c r="AY130" s="94" t="s">
        <v>223</v>
      </c>
      <c r="AZ130" s="94" t="s">
        <v>208</v>
      </c>
      <c r="BA130" s="88" t="s">
        <v>67</v>
      </c>
      <c r="BC130" s="93">
        <f>AW130+AX130</f>
        <v>0</v>
      </c>
      <c r="BD130" s="93">
        <f>H130/(100-BE130)*100</f>
        <v>0</v>
      </c>
      <c r="BE130" s="93">
        <v>0</v>
      </c>
      <c r="BF130" s="93">
        <f>O130</f>
        <v>37.059298749999996</v>
      </c>
      <c r="BH130" s="93">
        <f>G130*AO130</f>
        <v>0</v>
      </c>
      <c r="BI130" s="93">
        <f>G130*AP130</f>
        <v>0</v>
      </c>
      <c r="BJ130" s="93">
        <f>G130*H130</f>
        <v>0</v>
      </c>
      <c r="BK130" s="93"/>
      <c r="BL130" s="93">
        <v>27</v>
      </c>
      <c r="BW130" s="93" t="str">
        <f>I130</f>
        <v>21</v>
      </c>
      <c r="BX130" s="2" t="s">
        <v>227</v>
      </c>
    </row>
    <row r="131" spans="1:76" s="81" customFormat="1" x14ac:dyDescent="0.25">
      <c r="A131" s="110"/>
      <c r="B131" s="95"/>
      <c r="C131" s="95"/>
      <c r="D131" s="76" t="s">
        <v>54</v>
      </c>
      <c r="E131" s="76" t="s">
        <v>228</v>
      </c>
      <c r="F131" s="95"/>
      <c r="G131" s="96">
        <v>0</v>
      </c>
      <c r="H131" s="97"/>
      <c r="I131" s="95"/>
      <c r="J131" s="95"/>
      <c r="K131" s="95"/>
      <c r="L131" s="95"/>
      <c r="M131" s="95"/>
      <c r="N131" s="95"/>
      <c r="O131" s="95"/>
      <c r="P131" s="95"/>
    </row>
    <row r="132" spans="1:76" s="81" customFormat="1" x14ac:dyDescent="0.25">
      <c r="A132" s="110"/>
      <c r="B132" s="95"/>
      <c r="C132" s="95"/>
      <c r="D132" s="76" t="s">
        <v>69</v>
      </c>
      <c r="E132" s="76" t="s">
        <v>54</v>
      </c>
      <c r="F132" s="95"/>
      <c r="G132" s="96">
        <v>9.5220000000000002</v>
      </c>
      <c r="H132" s="97"/>
      <c r="I132" s="95"/>
      <c r="J132" s="95"/>
      <c r="K132" s="95"/>
      <c r="L132" s="95"/>
      <c r="M132" s="95"/>
      <c r="N132" s="95"/>
      <c r="O132" s="95"/>
      <c r="P132" s="95"/>
    </row>
    <row r="133" spans="1:76" s="81" customFormat="1" x14ac:dyDescent="0.25">
      <c r="A133" s="110"/>
      <c r="B133" s="95"/>
      <c r="C133" s="95"/>
      <c r="D133" s="76" t="s">
        <v>70</v>
      </c>
      <c r="E133" s="76" t="s">
        <v>54</v>
      </c>
      <c r="F133" s="95"/>
      <c r="G133" s="96">
        <v>0.67620000000000002</v>
      </c>
      <c r="H133" s="97"/>
      <c r="I133" s="95"/>
      <c r="J133" s="95"/>
      <c r="K133" s="95"/>
      <c r="L133" s="95"/>
      <c r="M133" s="95"/>
      <c r="N133" s="95"/>
      <c r="O133" s="95"/>
      <c r="P133" s="95"/>
    </row>
    <row r="134" spans="1:76" s="81" customFormat="1" x14ac:dyDescent="0.25">
      <c r="A134" s="110"/>
      <c r="B134" s="95"/>
      <c r="C134" s="95"/>
      <c r="D134" s="76" t="s">
        <v>71</v>
      </c>
      <c r="E134" s="76" t="s">
        <v>54</v>
      </c>
      <c r="F134" s="95"/>
      <c r="G134" s="96">
        <v>0.87875000000000003</v>
      </c>
      <c r="H134" s="97"/>
      <c r="I134" s="95"/>
      <c r="J134" s="95"/>
      <c r="K134" s="95"/>
      <c r="L134" s="95"/>
      <c r="M134" s="95"/>
      <c r="N134" s="95"/>
      <c r="O134" s="95"/>
      <c r="P134" s="95"/>
    </row>
    <row r="135" spans="1:76" s="81" customFormat="1" x14ac:dyDescent="0.25">
      <c r="A135" s="110"/>
      <c r="B135" s="95"/>
      <c r="C135" s="95"/>
      <c r="D135" s="76" t="s">
        <v>72</v>
      </c>
      <c r="E135" s="76" t="s">
        <v>54</v>
      </c>
      <c r="F135" s="95"/>
      <c r="G135" s="96">
        <v>3.6</v>
      </c>
      <c r="H135" s="97"/>
      <c r="I135" s="95"/>
      <c r="J135" s="95"/>
      <c r="K135" s="95"/>
      <c r="L135" s="95"/>
      <c r="M135" s="95"/>
      <c r="N135" s="95"/>
      <c r="O135" s="95"/>
      <c r="P135" s="95"/>
    </row>
    <row r="136" spans="1:76" s="81" customFormat="1" x14ac:dyDescent="0.25">
      <c r="A136" s="66" t="s">
        <v>160</v>
      </c>
      <c r="B136" s="72" t="s">
        <v>55</v>
      </c>
      <c r="C136" s="72" t="s">
        <v>229</v>
      </c>
      <c r="D136" s="174" t="s">
        <v>230</v>
      </c>
      <c r="E136" s="174"/>
      <c r="F136" s="72" t="s">
        <v>62</v>
      </c>
      <c r="G136" s="90">
        <v>129.62961999999999</v>
      </c>
      <c r="H136" s="91"/>
      <c r="I136" s="92" t="s">
        <v>63</v>
      </c>
      <c r="J136" s="90">
        <f>G136*AO136</f>
        <v>0</v>
      </c>
      <c r="K136" s="90">
        <f>G136*AP136</f>
        <v>0</v>
      </c>
      <c r="L136" s="90">
        <f>G136*H136</f>
        <v>0</v>
      </c>
      <c r="M136" s="90">
        <f>L136*(1+BW136/100)</f>
        <v>0</v>
      </c>
      <c r="N136" s="90">
        <v>2.5249999999999999</v>
      </c>
      <c r="O136" s="90">
        <f>G136*N136</f>
        <v>327.31479049999996</v>
      </c>
      <c r="P136" s="92" t="s">
        <v>64</v>
      </c>
      <c r="Z136" s="93">
        <f>IF(AQ136="5",BJ136,0)</f>
        <v>0</v>
      </c>
      <c r="AB136" s="93">
        <f>IF(AQ136="1",BH136,0)</f>
        <v>0</v>
      </c>
      <c r="AC136" s="93">
        <f>IF(AQ136="1",BI136,0)</f>
        <v>0</v>
      </c>
      <c r="AD136" s="93">
        <f>IF(AQ136="7",BH136,0)</f>
        <v>0</v>
      </c>
      <c r="AE136" s="93">
        <f>IF(AQ136="7",BI136,0)</f>
        <v>0</v>
      </c>
      <c r="AF136" s="93">
        <f>IF(AQ136="2",BH136,0)</f>
        <v>0</v>
      </c>
      <c r="AG136" s="93">
        <f>IF(AQ136="2",BI136,0)</f>
        <v>0</v>
      </c>
      <c r="AH136" s="93">
        <f>IF(AQ136="0",BJ136,0)</f>
        <v>0</v>
      </c>
      <c r="AI136" s="88" t="s">
        <v>55</v>
      </c>
      <c r="AJ136" s="93">
        <f>IF(AN136=0,L136,0)</f>
        <v>0</v>
      </c>
      <c r="AK136" s="93">
        <f>IF(AN136=12,L136,0)</f>
        <v>0</v>
      </c>
      <c r="AL136" s="93">
        <f>IF(AN136=21,L136,0)</f>
        <v>0</v>
      </c>
      <c r="AN136" s="93">
        <v>21</v>
      </c>
      <c r="AO136" s="93">
        <f>H136*0.920982779</f>
        <v>0</v>
      </c>
      <c r="AP136" s="93">
        <f>H136*(1-0.920982779)</f>
        <v>0</v>
      </c>
      <c r="AQ136" s="94" t="s">
        <v>59</v>
      </c>
      <c r="AV136" s="93">
        <f>AW136+AX136</f>
        <v>0</v>
      </c>
      <c r="AW136" s="93">
        <f>G136*AO136</f>
        <v>0</v>
      </c>
      <c r="AX136" s="93">
        <f>G136*AP136</f>
        <v>0</v>
      </c>
      <c r="AY136" s="94" t="s">
        <v>223</v>
      </c>
      <c r="AZ136" s="94" t="s">
        <v>208</v>
      </c>
      <c r="BA136" s="88" t="s">
        <v>67</v>
      </c>
      <c r="BC136" s="93">
        <f>AW136+AX136</f>
        <v>0</v>
      </c>
      <c r="BD136" s="93">
        <f>H136/(100-BE136)*100</f>
        <v>0</v>
      </c>
      <c r="BE136" s="93">
        <v>0</v>
      </c>
      <c r="BF136" s="93">
        <f>O136</f>
        <v>327.31479049999996</v>
      </c>
      <c r="BH136" s="93">
        <f>G136*AO136</f>
        <v>0</v>
      </c>
      <c r="BI136" s="93">
        <f>G136*AP136</f>
        <v>0</v>
      </c>
      <c r="BJ136" s="93">
        <f>G136*H136</f>
        <v>0</v>
      </c>
      <c r="BK136" s="93"/>
      <c r="BL136" s="93">
        <v>27</v>
      </c>
      <c r="BW136" s="93" t="str">
        <f>I136</f>
        <v>21</v>
      </c>
      <c r="BX136" s="2" t="s">
        <v>230</v>
      </c>
    </row>
    <row r="137" spans="1:76" s="81" customFormat="1" x14ac:dyDescent="0.25">
      <c r="A137" s="110"/>
      <c r="B137" s="95"/>
      <c r="C137" s="95"/>
      <c r="D137" s="76" t="s">
        <v>54</v>
      </c>
      <c r="E137" s="76" t="s">
        <v>228</v>
      </c>
      <c r="F137" s="95"/>
      <c r="G137" s="96">
        <v>0</v>
      </c>
      <c r="H137" s="97"/>
      <c r="I137" s="95"/>
      <c r="J137" s="95"/>
      <c r="K137" s="95"/>
      <c r="L137" s="95"/>
      <c r="M137" s="95"/>
      <c r="N137" s="95"/>
      <c r="O137" s="95"/>
      <c r="P137" s="95"/>
    </row>
    <row r="138" spans="1:76" s="81" customFormat="1" x14ac:dyDescent="0.25">
      <c r="A138" s="110"/>
      <c r="B138" s="95"/>
      <c r="C138" s="95"/>
      <c r="D138" s="76" t="s">
        <v>73</v>
      </c>
      <c r="E138" s="76" t="s">
        <v>54</v>
      </c>
      <c r="F138" s="95"/>
      <c r="G138" s="96">
        <v>31.740659999999998</v>
      </c>
      <c r="H138" s="97"/>
      <c r="I138" s="95"/>
      <c r="J138" s="95"/>
      <c r="K138" s="95"/>
      <c r="L138" s="95"/>
      <c r="M138" s="95"/>
      <c r="N138" s="95"/>
      <c r="O138" s="95"/>
      <c r="P138" s="95"/>
    </row>
    <row r="139" spans="1:76" s="81" customFormat="1" x14ac:dyDescent="0.25">
      <c r="A139" s="110"/>
      <c r="B139" s="95"/>
      <c r="C139" s="95"/>
      <c r="D139" s="76" t="s">
        <v>74</v>
      </c>
      <c r="E139" s="76" t="s">
        <v>54</v>
      </c>
      <c r="F139" s="95"/>
      <c r="G139" s="96">
        <v>6.2979000000000003</v>
      </c>
      <c r="H139" s="97"/>
      <c r="I139" s="95"/>
      <c r="J139" s="95"/>
      <c r="K139" s="95"/>
      <c r="L139" s="95"/>
      <c r="M139" s="95"/>
      <c r="N139" s="95"/>
      <c r="O139" s="95"/>
      <c r="P139" s="95"/>
    </row>
    <row r="140" spans="1:76" s="81" customFormat="1" x14ac:dyDescent="0.25">
      <c r="A140" s="110"/>
      <c r="B140" s="95"/>
      <c r="C140" s="95"/>
      <c r="D140" s="76" t="s">
        <v>75</v>
      </c>
      <c r="E140" s="76" t="s">
        <v>54</v>
      </c>
      <c r="F140" s="95"/>
      <c r="G140" s="96">
        <v>2.89114</v>
      </c>
      <c r="H140" s="97"/>
      <c r="I140" s="95"/>
      <c r="J140" s="95"/>
      <c r="K140" s="95"/>
      <c r="L140" s="95"/>
      <c r="M140" s="95"/>
      <c r="N140" s="95"/>
      <c r="O140" s="95"/>
      <c r="P140" s="95"/>
    </row>
    <row r="141" spans="1:76" s="81" customFormat="1" x14ac:dyDescent="0.25">
      <c r="A141" s="110"/>
      <c r="B141" s="95"/>
      <c r="C141" s="95"/>
      <c r="D141" s="76" t="s">
        <v>76</v>
      </c>
      <c r="E141" s="76" t="s">
        <v>54</v>
      </c>
      <c r="F141" s="95"/>
      <c r="G141" s="96">
        <v>4.5407999999999999</v>
      </c>
      <c r="H141" s="97"/>
      <c r="I141" s="95"/>
      <c r="J141" s="95"/>
      <c r="K141" s="95"/>
      <c r="L141" s="95"/>
      <c r="M141" s="95"/>
      <c r="N141" s="95"/>
      <c r="O141" s="95"/>
      <c r="P141" s="95"/>
    </row>
    <row r="142" spans="1:76" s="81" customFormat="1" x14ac:dyDescent="0.25">
      <c r="A142" s="110"/>
      <c r="B142" s="95"/>
      <c r="C142" s="95"/>
      <c r="D142" s="76" t="s">
        <v>77</v>
      </c>
      <c r="E142" s="76" t="s">
        <v>54</v>
      </c>
      <c r="F142" s="95"/>
      <c r="G142" s="96">
        <v>11.0528</v>
      </c>
      <c r="H142" s="97"/>
      <c r="I142" s="95"/>
      <c r="J142" s="95"/>
      <c r="K142" s="95"/>
      <c r="L142" s="95"/>
      <c r="M142" s="95"/>
      <c r="N142" s="95"/>
      <c r="O142" s="95"/>
      <c r="P142" s="95"/>
    </row>
    <row r="143" spans="1:76" s="81" customFormat="1" x14ac:dyDescent="0.25">
      <c r="A143" s="110"/>
      <c r="B143" s="95"/>
      <c r="C143" s="95"/>
      <c r="D143" s="76" t="s">
        <v>78</v>
      </c>
      <c r="E143" s="76" t="s">
        <v>54</v>
      </c>
      <c r="F143" s="95"/>
      <c r="G143" s="96">
        <v>5.0890500000000003</v>
      </c>
      <c r="H143" s="97"/>
      <c r="I143" s="95"/>
      <c r="J143" s="95"/>
      <c r="K143" s="95"/>
      <c r="L143" s="95"/>
      <c r="M143" s="95"/>
      <c r="N143" s="95"/>
      <c r="O143" s="95"/>
      <c r="P143" s="95"/>
    </row>
    <row r="144" spans="1:76" s="81" customFormat="1" x14ac:dyDescent="0.25">
      <c r="A144" s="110"/>
      <c r="B144" s="95"/>
      <c r="C144" s="95"/>
      <c r="D144" s="76" t="s">
        <v>79</v>
      </c>
      <c r="E144" s="76" t="s">
        <v>54</v>
      </c>
      <c r="F144" s="95"/>
      <c r="G144" s="96">
        <v>1.4189400000000001</v>
      </c>
      <c r="H144" s="97"/>
      <c r="I144" s="95"/>
      <c r="J144" s="95"/>
      <c r="K144" s="95"/>
      <c r="L144" s="95"/>
      <c r="M144" s="95"/>
      <c r="N144" s="95"/>
      <c r="O144" s="95"/>
      <c r="P144" s="95"/>
    </row>
    <row r="145" spans="1:76" s="81" customFormat="1" x14ac:dyDescent="0.25">
      <c r="A145" s="110"/>
      <c r="B145" s="95"/>
      <c r="C145" s="95"/>
      <c r="D145" s="76" t="s">
        <v>80</v>
      </c>
      <c r="E145" s="76" t="s">
        <v>54</v>
      </c>
      <c r="F145" s="95"/>
      <c r="G145" s="96">
        <v>1.1172</v>
      </c>
      <c r="H145" s="97"/>
      <c r="I145" s="95"/>
      <c r="J145" s="95"/>
      <c r="K145" s="95"/>
      <c r="L145" s="95"/>
      <c r="M145" s="95"/>
      <c r="N145" s="95"/>
      <c r="O145" s="95"/>
      <c r="P145" s="95"/>
    </row>
    <row r="146" spans="1:76" s="81" customFormat="1" ht="25.5" x14ac:dyDescent="0.25">
      <c r="A146" s="110"/>
      <c r="B146" s="95"/>
      <c r="C146" s="95"/>
      <c r="D146" s="76" t="s">
        <v>81</v>
      </c>
      <c r="E146" s="76" t="s">
        <v>54</v>
      </c>
      <c r="F146" s="95"/>
      <c r="G146" s="96">
        <v>12.4315</v>
      </c>
      <c r="H146" s="97"/>
      <c r="I146" s="95"/>
      <c r="J146" s="95"/>
      <c r="K146" s="95"/>
      <c r="L146" s="95"/>
      <c r="M146" s="95"/>
      <c r="N146" s="95"/>
      <c r="O146" s="95"/>
      <c r="P146" s="95"/>
    </row>
    <row r="147" spans="1:76" s="81" customFormat="1" ht="63.75" x14ac:dyDescent="0.25">
      <c r="A147" s="110"/>
      <c r="B147" s="95"/>
      <c r="C147" s="95"/>
      <c r="D147" s="76" t="s">
        <v>82</v>
      </c>
      <c r="E147" s="76" t="s">
        <v>54</v>
      </c>
      <c r="F147" s="95"/>
      <c r="G147" s="96">
        <v>35.503630000000001</v>
      </c>
      <c r="H147" s="97"/>
      <c r="I147" s="95"/>
      <c r="J147" s="95"/>
      <c r="K147" s="95"/>
      <c r="L147" s="95"/>
      <c r="M147" s="95"/>
      <c r="N147" s="95"/>
      <c r="O147" s="95"/>
      <c r="P147" s="95"/>
    </row>
    <row r="148" spans="1:76" s="81" customFormat="1" ht="25.5" x14ac:dyDescent="0.25">
      <c r="A148" s="110"/>
      <c r="B148" s="95"/>
      <c r="C148" s="95"/>
      <c r="D148" s="76" t="s">
        <v>83</v>
      </c>
      <c r="E148" s="76" t="s">
        <v>54</v>
      </c>
      <c r="F148" s="95"/>
      <c r="G148" s="96">
        <v>16.251000000000001</v>
      </c>
      <c r="H148" s="97"/>
      <c r="I148" s="95"/>
      <c r="J148" s="95"/>
      <c r="K148" s="95"/>
      <c r="L148" s="95"/>
      <c r="M148" s="95"/>
      <c r="N148" s="95"/>
      <c r="O148" s="95"/>
      <c r="P148" s="95"/>
    </row>
    <row r="149" spans="1:76" s="81" customFormat="1" x14ac:dyDescent="0.25">
      <c r="A149" s="110"/>
      <c r="B149" s="95"/>
      <c r="C149" s="95"/>
      <c r="D149" s="76" t="s">
        <v>84</v>
      </c>
      <c r="E149" s="76" t="s">
        <v>54</v>
      </c>
      <c r="F149" s="95"/>
      <c r="G149" s="96">
        <v>1.095</v>
      </c>
      <c r="H149" s="97"/>
      <c r="I149" s="95"/>
      <c r="J149" s="95"/>
      <c r="K149" s="95"/>
      <c r="L149" s="95"/>
      <c r="M149" s="95"/>
      <c r="N149" s="95"/>
      <c r="O149" s="95"/>
      <c r="P149" s="95"/>
    </row>
    <row r="150" spans="1:76" s="81" customFormat="1" x14ac:dyDescent="0.25">
      <c r="A150" s="110"/>
      <c r="B150" s="95"/>
      <c r="C150" s="95"/>
      <c r="D150" s="76" t="s">
        <v>85</v>
      </c>
      <c r="E150" s="76" t="s">
        <v>54</v>
      </c>
      <c r="F150" s="95"/>
      <c r="G150" s="96">
        <v>0.2</v>
      </c>
      <c r="H150" s="97"/>
      <c r="I150" s="95"/>
      <c r="J150" s="95"/>
      <c r="K150" s="95"/>
      <c r="L150" s="95"/>
      <c r="M150" s="95"/>
      <c r="N150" s="95"/>
      <c r="O150" s="95"/>
      <c r="P150" s="95"/>
    </row>
    <row r="151" spans="1:76" s="81" customFormat="1" x14ac:dyDescent="0.25">
      <c r="A151" s="66" t="s">
        <v>187</v>
      </c>
      <c r="B151" s="72" t="s">
        <v>55</v>
      </c>
      <c r="C151" s="72" t="s">
        <v>231</v>
      </c>
      <c r="D151" s="174" t="s">
        <v>232</v>
      </c>
      <c r="E151" s="174"/>
      <c r="F151" s="72" t="s">
        <v>62</v>
      </c>
      <c r="G151" s="90">
        <v>14.23588</v>
      </c>
      <c r="H151" s="91"/>
      <c r="I151" s="92" t="s">
        <v>63</v>
      </c>
      <c r="J151" s="90">
        <f>G151*AO151</f>
        <v>0</v>
      </c>
      <c r="K151" s="90">
        <f>G151*AP151</f>
        <v>0</v>
      </c>
      <c r="L151" s="90">
        <f>G151*H151</f>
        <v>0</v>
      </c>
      <c r="M151" s="90">
        <f>L151*(1+BW151/100)</f>
        <v>0</v>
      </c>
      <c r="N151" s="90">
        <v>2.5251399999999999</v>
      </c>
      <c r="O151" s="90">
        <f>G151*N151</f>
        <v>35.9475900232</v>
      </c>
      <c r="P151" s="92" t="s">
        <v>64</v>
      </c>
      <c r="Z151" s="93">
        <f>IF(AQ151="5",BJ151,0)</f>
        <v>0</v>
      </c>
      <c r="AB151" s="93">
        <f>IF(AQ151="1",BH151,0)</f>
        <v>0</v>
      </c>
      <c r="AC151" s="93">
        <f>IF(AQ151="1",BI151,0)</f>
        <v>0</v>
      </c>
      <c r="AD151" s="93">
        <f>IF(AQ151="7",BH151,0)</f>
        <v>0</v>
      </c>
      <c r="AE151" s="93">
        <f>IF(AQ151="7",BI151,0)</f>
        <v>0</v>
      </c>
      <c r="AF151" s="93">
        <f>IF(AQ151="2",BH151,0)</f>
        <v>0</v>
      </c>
      <c r="AG151" s="93">
        <f>IF(AQ151="2",BI151,0)</f>
        <v>0</v>
      </c>
      <c r="AH151" s="93">
        <f>IF(AQ151="0",BJ151,0)</f>
        <v>0</v>
      </c>
      <c r="AI151" s="88" t="s">
        <v>55</v>
      </c>
      <c r="AJ151" s="93">
        <f>IF(AN151=0,L151,0)</f>
        <v>0</v>
      </c>
      <c r="AK151" s="93">
        <f>IF(AN151=12,L151,0)</f>
        <v>0</v>
      </c>
      <c r="AL151" s="93">
        <f>IF(AN151=21,L151,0)</f>
        <v>0</v>
      </c>
      <c r="AN151" s="93">
        <v>21</v>
      </c>
      <c r="AO151" s="93">
        <f>H151*0.848044164</f>
        <v>0</v>
      </c>
      <c r="AP151" s="93">
        <f>H151*(1-0.848044164)</f>
        <v>0</v>
      </c>
      <c r="AQ151" s="94" t="s">
        <v>59</v>
      </c>
      <c r="AV151" s="93">
        <f>AW151+AX151</f>
        <v>0</v>
      </c>
      <c r="AW151" s="93">
        <f>G151*AO151</f>
        <v>0</v>
      </c>
      <c r="AX151" s="93">
        <f>G151*AP151</f>
        <v>0</v>
      </c>
      <c r="AY151" s="94" t="s">
        <v>223</v>
      </c>
      <c r="AZ151" s="94" t="s">
        <v>208</v>
      </c>
      <c r="BA151" s="88" t="s">
        <v>67</v>
      </c>
      <c r="BC151" s="93">
        <f>AW151+AX151</f>
        <v>0</v>
      </c>
      <c r="BD151" s="93">
        <f>H151/(100-BE151)*100</f>
        <v>0</v>
      </c>
      <c r="BE151" s="93">
        <v>0</v>
      </c>
      <c r="BF151" s="93">
        <f>O151</f>
        <v>35.9475900232</v>
      </c>
      <c r="BH151" s="93">
        <f>G151*AO151</f>
        <v>0</v>
      </c>
      <c r="BI151" s="93">
        <f>G151*AP151</f>
        <v>0</v>
      </c>
      <c r="BJ151" s="93">
        <f>G151*H151</f>
        <v>0</v>
      </c>
      <c r="BK151" s="93"/>
      <c r="BL151" s="93">
        <v>27</v>
      </c>
      <c r="BW151" s="93" t="str">
        <f>I151</f>
        <v>21</v>
      </c>
      <c r="BX151" s="2" t="s">
        <v>232</v>
      </c>
    </row>
    <row r="152" spans="1:76" s="81" customFormat="1" x14ac:dyDescent="0.25">
      <c r="A152" s="110"/>
      <c r="B152" s="95"/>
      <c r="C152" s="95"/>
      <c r="D152" s="76" t="s">
        <v>54</v>
      </c>
      <c r="E152" s="76" t="s">
        <v>228</v>
      </c>
      <c r="F152" s="95"/>
      <c r="G152" s="96">
        <v>0</v>
      </c>
      <c r="H152" s="97"/>
      <c r="I152" s="95"/>
      <c r="J152" s="95"/>
      <c r="K152" s="95"/>
      <c r="L152" s="95"/>
      <c r="M152" s="95"/>
      <c r="N152" s="95"/>
      <c r="O152" s="95"/>
      <c r="P152" s="95"/>
    </row>
    <row r="153" spans="1:76" s="81" customFormat="1" x14ac:dyDescent="0.25">
      <c r="A153" s="110"/>
      <c r="B153" s="95"/>
      <c r="C153" s="95"/>
      <c r="D153" s="76" t="s">
        <v>54</v>
      </c>
      <c r="E153" s="76" t="s">
        <v>87</v>
      </c>
      <c r="F153" s="95"/>
      <c r="G153" s="96">
        <v>0</v>
      </c>
      <c r="H153" s="97"/>
      <c r="I153" s="95"/>
      <c r="J153" s="95"/>
      <c r="K153" s="95"/>
      <c r="L153" s="95"/>
      <c r="M153" s="95"/>
      <c r="N153" s="95"/>
      <c r="O153" s="95"/>
      <c r="P153" s="95"/>
    </row>
    <row r="154" spans="1:76" s="81" customFormat="1" x14ac:dyDescent="0.25">
      <c r="A154" s="110"/>
      <c r="B154" s="95"/>
      <c r="C154" s="95"/>
      <c r="D154" s="76" t="s">
        <v>54</v>
      </c>
      <c r="E154" s="76" t="s">
        <v>91</v>
      </c>
      <c r="F154" s="95"/>
      <c r="G154" s="96">
        <v>0</v>
      </c>
      <c r="H154" s="97"/>
      <c r="I154" s="95"/>
      <c r="J154" s="95"/>
      <c r="K154" s="95"/>
      <c r="L154" s="95"/>
      <c r="M154" s="95"/>
      <c r="N154" s="95"/>
      <c r="O154" s="95"/>
      <c r="P154" s="95"/>
    </row>
    <row r="155" spans="1:76" s="81" customFormat="1" x14ac:dyDescent="0.25">
      <c r="A155" s="110"/>
      <c r="B155" s="95"/>
      <c r="C155" s="95"/>
      <c r="D155" s="76" t="s">
        <v>92</v>
      </c>
      <c r="E155" s="76" t="s">
        <v>54</v>
      </c>
      <c r="F155" s="95"/>
      <c r="G155" s="96">
        <v>1.7633700000000001</v>
      </c>
      <c r="H155" s="97"/>
      <c r="I155" s="95"/>
      <c r="J155" s="95"/>
      <c r="K155" s="95"/>
      <c r="L155" s="95"/>
      <c r="M155" s="95"/>
      <c r="N155" s="95"/>
      <c r="O155" s="95"/>
      <c r="P155" s="95"/>
    </row>
    <row r="156" spans="1:76" s="81" customFormat="1" x14ac:dyDescent="0.25">
      <c r="A156" s="110"/>
      <c r="B156" s="95"/>
      <c r="C156" s="95"/>
      <c r="D156" s="76" t="s">
        <v>93</v>
      </c>
      <c r="E156" s="76" t="s">
        <v>54</v>
      </c>
      <c r="F156" s="95"/>
      <c r="G156" s="96">
        <v>0.78724000000000005</v>
      </c>
      <c r="H156" s="97"/>
      <c r="I156" s="95"/>
      <c r="J156" s="95"/>
      <c r="K156" s="95"/>
      <c r="L156" s="95"/>
      <c r="M156" s="95"/>
      <c r="N156" s="95"/>
      <c r="O156" s="95"/>
      <c r="P156" s="95"/>
    </row>
    <row r="157" spans="1:76" s="81" customFormat="1" x14ac:dyDescent="0.25">
      <c r="A157" s="110"/>
      <c r="B157" s="95"/>
      <c r="C157" s="95"/>
      <c r="D157" s="76" t="s">
        <v>94</v>
      </c>
      <c r="E157" s="76" t="s">
        <v>54</v>
      </c>
      <c r="F157" s="95"/>
      <c r="G157" s="96">
        <v>0.36138999999999999</v>
      </c>
      <c r="H157" s="97"/>
      <c r="I157" s="95"/>
      <c r="J157" s="95"/>
      <c r="K157" s="95"/>
      <c r="L157" s="95"/>
      <c r="M157" s="95"/>
      <c r="N157" s="95"/>
      <c r="O157" s="95"/>
      <c r="P157" s="95"/>
    </row>
    <row r="158" spans="1:76" s="81" customFormat="1" x14ac:dyDescent="0.25">
      <c r="A158" s="110"/>
      <c r="B158" s="95"/>
      <c r="C158" s="95"/>
      <c r="D158" s="76" t="s">
        <v>95</v>
      </c>
      <c r="E158" s="76" t="s">
        <v>54</v>
      </c>
      <c r="F158" s="95"/>
      <c r="G158" s="96">
        <v>0.56759999999999999</v>
      </c>
      <c r="H158" s="97"/>
      <c r="I158" s="95"/>
      <c r="J158" s="95"/>
      <c r="K158" s="95"/>
      <c r="L158" s="95"/>
      <c r="M158" s="95"/>
      <c r="N158" s="95"/>
      <c r="O158" s="95"/>
      <c r="P158" s="95"/>
    </row>
    <row r="159" spans="1:76" s="81" customFormat="1" x14ac:dyDescent="0.25">
      <c r="A159" s="110"/>
      <c r="B159" s="95"/>
      <c r="C159" s="95"/>
      <c r="D159" s="76" t="s">
        <v>96</v>
      </c>
      <c r="E159" s="76" t="s">
        <v>54</v>
      </c>
      <c r="F159" s="95"/>
      <c r="G159" s="96">
        <v>1.3815999999999999</v>
      </c>
      <c r="H159" s="97"/>
      <c r="I159" s="95"/>
      <c r="J159" s="95"/>
      <c r="K159" s="95"/>
      <c r="L159" s="95"/>
      <c r="M159" s="95"/>
      <c r="N159" s="95"/>
      <c r="O159" s="95"/>
      <c r="P159" s="95"/>
    </row>
    <row r="160" spans="1:76" s="81" customFormat="1" x14ac:dyDescent="0.25">
      <c r="A160" s="110"/>
      <c r="B160" s="95"/>
      <c r="C160" s="95"/>
      <c r="D160" s="76" t="s">
        <v>97</v>
      </c>
      <c r="E160" s="76" t="s">
        <v>54</v>
      </c>
      <c r="F160" s="95"/>
      <c r="G160" s="96">
        <v>0.309</v>
      </c>
      <c r="H160" s="97"/>
      <c r="I160" s="95"/>
      <c r="J160" s="95"/>
      <c r="K160" s="95"/>
      <c r="L160" s="95"/>
      <c r="M160" s="95"/>
      <c r="N160" s="95"/>
      <c r="O160" s="95"/>
      <c r="P160" s="95"/>
    </row>
    <row r="161" spans="1:76" s="81" customFormat="1" x14ac:dyDescent="0.25">
      <c r="A161" s="110"/>
      <c r="B161" s="95"/>
      <c r="C161" s="95"/>
      <c r="D161" s="76" t="s">
        <v>98</v>
      </c>
      <c r="E161" s="76" t="s">
        <v>54</v>
      </c>
      <c r="F161" s="95"/>
      <c r="G161" s="96">
        <v>0.13303000000000001</v>
      </c>
      <c r="H161" s="97"/>
      <c r="I161" s="95"/>
      <c r="J161" s="95"/>
      <c r="K161" s="95"/>
      <c r="L161" s="95"/>
      <c r="M161" s="95"/>
      <c r="N161" s="95"/>
      <c r="O161" s="95"/>
      <c r="P161" s="95"/>
    </row>
    <row r="162" spans="1:76" s="81" customFormat="1" x14ac:dyDescent="0.25">
      <c r="A162" s="110"/>
      <c r="B162" s="95"/>
      <c r="C162" s="95"/>
      <c r="D162" s="76" t="s">
        <v>99</v>
      </c>
      <c r="E162" s="76" t="s">
        <v>54</v>
      </c>
      <c r="F162" s="95"/>
      <c r="G162" s="96">
        <v>7.9799999999999996E-2</v>
      </c>
      <c r="H162" s="97"/>
      <c r="I162" s="95"/>
      <c r="J162" s="95"/>
      <c r="K162" s="95"/>
      <c r="L162" s="95"/>
      <c r="M162" s="95"/>
      <c r="N162" s="95"/>
      <c r="O162" s="95"/>
      <c r="P162" s="95"/>
    </row>
    <row r="163" spans="1:76" s="81" customFormat="1" x14ac:dyDescent="0.25">
      <c r="A163" s="110"/>
      <c r="B163" s="95"/>
      <c r="C163" s="95"/>
      <c r="D163" s="76" t="s">
        <v>100</v>
      </c>
      <c r="E163" s="76" t="s">
        <v>54</v>
      </c>
      <c r="F163" s="95"/>
      <c r="G163" s="96">
        <v>1.4768699999999999</v>
      </c>
      <c r="H163" s="97"/>
      <c r="I163" s="95"/>
      <c r="J163" s="95"/>
      <c r="K163" s="95"/>
      <c r="L163" s="95"/>
      <c r="M163" s="95"/>
      <c r="N163" s="95"/>
      <c r="O163" s="95"/>
      <c r="P163" s="95"/>
    </row>
    <row r="164" spans="1:76" s="81" customFormat="1" ht="63.75" x14ac:dyDescent="0.25">
      <c r="A164" s="110"/>
      <c r="B164" s="95"/>
      <c r="C164" s="95"/>
      <c r="D164" s="76" t="s">
        <v>101</v>
      </c>
      <c r="E164" s="76" t="s">
        <v>54</v>
      </c>
      <c r="F164" s="95"/>
      <c r="G164" s="96">
        <v>4.4379499999999998</v>
      </c>
      <c r="H164" s="97"/>
      <c r="I164" s="95"/>
      <c r="J164" s="95"/>
      <c r="K164" s="95"/>
      <c r="L164" s="95"/>
      <c r="M164" s="95"/>
      <c r="N164" s="95"/>
      <c r="O164" s="95"/>
      <c r="P164" s="95"/>
    </row>
    <row r="165" spans="1:76" s="81" customFormat="1" ht="25.5" x14ac:dyDescent="0.25">
      <c r="A165" s="110"/>
      <c r="B165" s="95"/>
      <c r="C165" s="95"/>
      <c r="D165" s="76" t="s">
        <v>104</v>
      </c>
      <c r="E165" s="76" t="s">
        <v>54</v>
      </c>
      <c r="F165" s="95"/>
      <c r="G165" s="96">
        <v>2.03138</v>
      </c>
      <c r="H165" s="97"/>
      <c r="I165" s="95"/>
      <c r="J165" s="95"/>
      <c r="K165" s="95"/>
      <c r="L165" s="95"/>
      <c r="M165" s="95"/>
      <c r="N165" s="95"/>
      <c r="O165" s="95"/>
      <c r="P165" s="95"/>
    </row>
    <row r="166" spans="1:76" s="81" customFormat="1" x14ac:dyDescent="0.25">
      <c r="A166" s="110"/>
      <c r="B166" s="95"/>
      <c r="C166" s="95"/>
      <c r="D166" s="76" t="s">
        <v>54</v>
      </c>
      <c r="E166" s="76" t="s">
        <v>114</v>
      </c>
      <c r="F166" s="95"/>
      <c r="G166" s="96">
        <v>0</v>
      </c>
      <c r="H166" s="97"/>
      <c r="I166" s="95"/>
      <c r="J166" s="95"/>
      <c r="K166" s="95"/>
      <c r="L166" s="95"/>
      <c r="M166" s="95"/>
      <c r="N166" s="95"/>
      <c r="O166" s="95"/>
      <c r="P166" s="95"/>
    </row>
    <row r="167" spans="1:76" s="81" customFormat="1" x14ac:dyDescent="0.25">
      <c r="A167" s="110"/>
      <c r="B167" s="95"/>
      <c r="C167" s="95"/>
      <c r="D167" s="76" t="s">
        <v>117</v>
      </c>
      <c r="E167" s="76" t="s">
        <v>54</v>
      </c>
      <c r="F167" s="95"/>
      <c r="G167" s="96">
        <v>0.152</v>
      </c>
      <c r="H167" s="97"/>
      <c r="I167" s="95"/>
      <c r="J167" s="95"/>
      <c r="K167" s="95"/>
      <c r="L167" s="95"/>
      <c r="M167" s="95"/>
      <c r="N167" s="95"/>
      <c r="O167" s="95"/>
      <c r="P167" s="95"/>
    </row>
    <row r="168" spans="1:76" s="81" customFormat="1" x14ac:dyDescent="0.25">
      <c r="A168" s="110"/>
      <c r="B168" s="95"/>
      <c r="C168" s="95"/>
      <c r="D168" s="76" t="s">
        <v>88</v>
      </c>
      <c r="E168" s="76" t="s">
        <v>54</v>
      </c>
      <c r="F168" s="95"/>
      <c r="G168" s="96">
        <v>0.52900000000000003</v>
      </c>
      <c r="H168" s="97"/>
      <c r="I168" s="95"/>
      <c r="J168" s="95"/>
      <c r="K168" s="95"/>
      <c r="L168" s="95"/>
      <c r="M168" s="95"/>
      <c r="N168" s="95"/>
      <c r="O168" s="95"/>
      <c r="P168" s="95"/>
    </row>
    <row r="169" spans="1:76" s="81" customFormat="1" x14ac:dyDescent="0.25">
      <c r="A169" s="110"/>
      <c r="B169" s="95"/>
      <c r="C169" s="95"/>
      <c r="D169" s="76" t="s">
        <v>89</v>
      </c>
      <c r="E169" s="76" t="s">
        <v>54</v>
      </c>
      <c r="F169" s="95"/>
      <c r="G169" s="96">
        <v>2.9399999999999999E-2</v>
      </c>
      <c r="H169" s="97"/>
      <c r="I169" s="95"/>
      <c r="J169" s="95"/>
      <c r="K169" s="95"/>
      <c r="L169" s="95"/>
      <c r="M169" s="95"/>
      <c r="N169" s="95"/>
      <c r="O169" s="95"/>
      <c r="P169" s="95"/>
    </row>
    <row r="170" spans="1:76" s="81" customFormat="1" x14ac:dyDescent="0.25">
      <c r="A170" s="110"/>
      <c r="B170" s="95"/>
      <c r="C170" s="95"/>
      <c r="D170" s="76" t="s">
        <v>90</v>
      </c>
      <c r="E170" s="76" t="s">
        <v>54</v>
      </c>
      <c r="F170" s="95"/>
      <c r="G170" s="96">
        <v>4.6249999999999999E-2</v>
      </c>
      <c r="H170" s="97"/>
      <c r="I170" s="95"/>
      <c r="J170" s="95"/>
      <c r="K170" s="95"/>
      <c r="L170" s="95"/>
      <c r="M170" s="95"/>
      <c r="N170" s="95"/>
      <c r="O170" s="95"/>
      <c r="P170" s="95"/>
    </row>
    <row r="171" spans="1:76" s="81" customFormat="1" x14ac:dyDescent="0.25">
      <c r="A171" s="110"/>
      <c r="B171" s="95"/>
      <c r="C171" s="95"/>
      <c r="D171" s="76" t="s">
        <v>110</v>
      </c>
      <c r="E171" s="76" t="s">
        <v>54</v>
      </c>
      <c r="F171" s="95"/>
      <c r="G171" s="96">
        <v>0.15</v>
      </c>
      <c r="H171" s="97"/>
      <c r="I171" s="95"/>
      <c r="J171" s="95"/>
      <c r="K171" s="95"/>
      <c r="L171" s="95"/>
      <c r="M171" s="95"/>
      <c r="N171" s="95"/>
      <c r="O171" s="95"/>
      <c r="P171" s="95"/>
    </row>
    <row r="172" spans="1:76" s="81" customFormat="1" x14ac:dyDescent="0.25">
      <c r="A172" s="66" t="s">
        <v>233</v>
      </c>
      <c r="B172" s="72" t="s">
        <v>55</v>
      </c>
      <c r="C172" s="72" t="s">
        <v>234</v>
      </c>
      <c r="D172" s="174" t="s">
        <v>235</v>
      </c>
      <c r="E172" s="174"/>
      <c r="F172" s="72" t="s">
        <v>192</v>
      </c>
      <c r="G172" s="90">
        <v>1.3149999999999999</v>
      </c>
      <c r="H172" s="91"/>
      <c r="I172" s="92" t="s">
        <v>63</v>
      </c>
      <c r="J172" s="90">
        <f>G172*AO172</f>
        <v>0</v>
      </c>
      <c r="K172" s="90">
        <f>G172*AP172</f>
        <v>0</v>
      </c>
      <c r="L172" s="90">
        <f>G172*H172</f>
        <v>0</v>
      </c>
      <c r="M172" s="90">
        <f>L172*(1+BW172/100)</f>
        <v>0</v>
      </c>
      <c r="N172" s="90">
        <v>0.38500000000000001</v>
      </c>
      <c r="O172" s="90">
        <f>G172*N172</f>
        <v>0.50627500000000003</v>
      </c>
      <c r="P172" s="92" t="s">
        <v>64</v>
      </c>
      <c r="Z172" s="93">
        <f>IF(AQ172="5",BJ172,0)</f>
        <v>0</v>
      </c>
      <c r="AB172" s="93">
        <f>IF(AQ172="1",BH172,0)</f>
        <v>0</v>
      </c>
      <c r="AC172" s="93">
        <f>IF(AQ172="1",BI172,0)</f>
        <v>0</v>
      </c>
      <c r="AD172" s="93">
        <f>IF(AQ172="7",BH172,0)</f>
        <v>0</v>
      </c>
      <c r="AE172" s="93">
        <f>IF(AQ172="7",BI172,0)</f>
        <v>0</v>
      </c>
      <c r="AF172" s="93">
        <f>IF(AQ172="2",BH172,0)</f>
        <v>0</v>
      </c>
      <c r="AG172" s="93">
        <f>IF(AQ172="2",BI172,0)</f>
        <v>0</v>
      </c>
      <c r="AH172" s="93">
        <f>IF(AQ172="0",BJ172,0)</f>
        <v>0</v>
      </c>
      <c r="AI172" s="88" t="s">
        <v>55</v>
      </c>
      <c r="AJ172" s="93">
        <f>IF(AN172=0,L172,0)</f>
        <v>0</v>
      </c>
      <c r="AK172" s="93">
        <f>IF(AN172=12,L172,0)</f>
        <v>0</v>
      </c>
      <c r="AL172" s="93">
        <f>IF(AN172=21,L172,0)</f>
        <v>0</v>
      </c>
      <c r="AN172" s="93">
        <v>21</v>
      </c>
      <c r="AO172" s="93">
        <f>H172*0.649434287</f>
        <v>0</v>
      </c>
      <c r="AP172" s="93">
        <f>H172*(1-0.649434287)</f>
        <v>0</v>
      </c>
      <c r="AQ172" s="94" t="s">
        <v>59</v>
      </c>
      <c r="AV172" s="93">
        <f>AW172+AX172</f>
        <v>0</v>
      </c>
      <c r="AW172" s="93">
        <f>G172*AO172</f>
        <v>0</v>
      </c>
      <c r="AX172" s="93">
        <f>G172*AP172</f>
        <v>0</v>
      </c>
      <c r="AY172" s="94" t="s">
        <v>223</v>
      </c>
      <c r="AZ172" s="94" t="s">
        <v>208</v>
      </c>
      <c r="BA172" s="88" t="s">
        <v>67</v>
      </c>
      <c r="BC172" s="93">
        <f>AW172+AX172</f>
        <v>0</v>
      </c>
      <c r="BD172" s="93">
        <f>H172/(100-BE172)*100</f>
        <v>0</v>
      </c>
      <c r="BE172" s="93">
        <v>0</v>
      </c>
      <c r="BF172" s="93">
        <f>O172</f>
        <v>0.50627500000000003</v>
      </c>
      <c r="BH172" s="93">
        <f>G172*AO172</f>
        <v>0</v>
      </c>
      <c r="BI172" s="93">
        <f>G172*AP172</f>
        <v>0</v>
      </c>
      <c r="BJ172" s="93">
        <f>G172*H172</f>
        <v>0</v>
      </c>
      <c r="BK172" s="93"/>
      <c r="BL172" s="93">
        <v>27</v>
      </c>
      <c r="BW172" s="93" t="str">
        <f>I172</f>
        <v>21</v>
      </c>
      <c r="BX172" s="2" t="s">
        <v>235</v>
      </c>
    </row>
    <row r="173" spans="1:76" s="81" customFormat="1" ht="13.5" customHeight="1" x14ac:dyDescent="0.25">
      <c r="A173" s="110"/>
      <c r="B173" s="95"/>
      <c r="C173" s="95"/>
      <c r="D173" s="179" t="s">
        <v>236</v>
      </c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</row>
    <row r="174" spans="1:76" s="81" customFormat="1" x14ac:dyDescent="0.25">
      <c r="A174" s="110"/>
      <c r="B174" s="95"/>
      <c r="C174" s="95"/>
      <c r="D174" s="76" t="s">
        <v>54</v>
      </c>
      <c r="E174" s="76" t="s">
        <v>237</v>
      </c>
      <c r="F174" s="95"/>
      <c r="G174" s="96">
        <v>0</v>
      </c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1:76" s="81" customFormat="1" x14ac:dyDescent="0.25">
      <c r="A175" s="110"/>
      <c r="B175" s="95"/>
      <c r="C175" s="95"/>
      <c r="D175" s="76" t="s">
        <v>238</v>
      </c>
      <c r="E175" s="76" t="s">
        <v>239</v>
      </c>
      <c r="F175" s="95"/>
      <c r="G175" s="96">
        <v>1.3149999999999999</v>
      </c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1:76" s="81" customFormat="1" x14ac:dyDescent="0.25">
      <c r="A176" s="66" t="s">
        <v>240</v>
      </c>
      <c r="B176" s="72" t="s">
        <v>55</v>
      </c>
      <c r="C176" s="72" t="s">
        <v>241</v>
      </c>
      <c r="D176" s="174" t="s">
        <v>242</v>
      </c>
      <c r="E176" s="174"/>
      <c r="F176" s="72" t="s">
        <v>192</v>
      </c>
      <c r="G176" s="90">
        <v>4.74</v>
      </c>
      <c r="H176" s="91"/>
      <c r="I176" s="92" t="s">
        <v>63</v>
      </c>
      <c r="J176" s="90">
        <f>G176*AO176</f>
        <v>0</v>
      </c>
      <c r="K176" s="90">
        <f>G176*AP176</f>
        <v>0</v>
      </c>
      <c r="L176" s="90">
        <f>G176*H176</f>
        <v>0</v>
      </c>
      <c r="M176" s="90">
        <f>L176*(1+BW176/100)</f>
        <v>0</v>
      </c>
      <c r="N176" s="90">
        <v>0.6</v>
      </c>
      <c r="O176" s="90">
        <f>G176*N176</f>
        <v>2.8439999999999999</v>
      </c>
      <c r="P176" s="92" t="s">
        <v>64</v>
      </c>
      <c r="Z176" s="93">
        <f>IF(AQ176="5",BJ176,0)</f>
        <v>0</v>
      </c>
      <c r="AB176" s="93">
        <f>IF(AQ176="1",BH176,0)</f>
        <v>0</v>
      </c>
      <c r="AC176" s="93">
        <f>IF(AQ176="1",BI176,0)</f>
        <v>0</v>
      </c>
      <c r="AD176" s="93">
        <f>IF(AQ176="7",BH176,0)</f>
        <v>0</v>
      </c>
      <c r="AE176" s="93">
        <f>IF(AQ176="7",BI176,0)</f>
        <v>0</v>
      </c>
      <c r="AF176" s="93">
        <f>IF(AQ176="2",BH176,0)</f>
        <v>0</v>
      </c>
      <c r="AG176" s="93">
        <f>IF(AQ176="2",BI176,0)</f>
        <v>0</v>
      </c>
      <c r="AH176" s="93">
        <f>IF(AQ176="0",BJ176,0)</f>
        <v>0</v>
      </c>
      <c r="AI176" s="88" t="s">
        <v>55</v>
      </c>
      <c r="AJ176" s="93">
        <f>IF(AN176=0,L176,0)</f>
        <v>0</v>
      </c>
      <c r="AK176" s="93">
        <f>IF(AN176=12,L176,0)</f>
        <v>0</v>
      </c>
      <c r="AL176" s="93">
        <f>IF(AN176=21,L176,0)</f>
        <v>0</v>
      </c>
      <c r="AN176" s="93">
        <v>21</v>
      </c>
      <c r="AO176" s="93">
        <f>H176*0.692964141</f>
        <v>0</v>
      </c>
      <c r="AP176" s="93">
        <f>H176*(1-0.692964141)</f>
        <v>0</v>
      </c>
      <c r="AQ176" s="94" t="s">
        <v>59</v>
      </c>
      <c r="AV176" s="93">
        <f>AW176+AX176</f>
        <v>0</v>
      </c>
      <c r="AW176" s="93">
        <f>G176*AO176</f>
        <v>0</v>
      </c>
      <c r="AX176" s="93">
        <f>G176*AP176</f>
        <v>0</v>
      </c>
      <c r="AY176" s="94" t="s">
        <v>223</v>
      </c>
      <c r="AZ176" s="94" t="s">
        <v>208</v>
      </c>
      <c r="BA176" s="88" t="s">
        <v>67</v>
      </c>
      <c r="BC176" s="93">
        <f>AW176+AX176</f>
        <v>0</v>
      </c>
      <c r="BD176" s="93">
        <f>H176/(100-BE176)*100</f>
        <v>0</v>
      </c>
      <c r="BE176" s="93">
        <v>0</v>
      </c>
      <c r="BF176" s="93">
        <f>O176</f>
        <v>2.8439999999999999</v>
      </c>
      <c r="BH176" s="93">
        <f>G176*AO176</f>
        <v>0</v>
      </c>
      <c r="BI176" s="93">
        <f>G176*AP176</f>
        <v>0</v>
      </c>
      <c r="BJ176" s="93">
        <f>G176*H176</f>
        <v>0</v>
      </c>
      <c r="BK176" s="93"/>
      <c r="BL176" s="93">
        <v>27</v>
      </c>
      <c r="BW176" s="93" t="str">
        <f>I176</f>
        <v>21</v>
      </c>
      <c r="BX176" s="2" t="s">
        <v>242</v>
      </c>
    </row>
    <row r="177" spans="1:76" s="81" customFormat="1" ht="13.5" customHeight="1" x14ac:dyDescent="0.25">
      <c r="A177" s="110"/>
      <c r="B177" s="95"/>
      <c r="C177" s="95"/>
      <c r="D177" s="179" t="s">
        <v>236</v>
      </c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</row>
    <row r="178" spans="1:76" s="81" customFormat="1" x14ac:dyDescent="0.25">
      <c r="A178" s="110"/>
      <c r="B178" s="95"/>
      <c r="C178" s="95"/>
      <c r="D178" s="76" t="s">
        <v>54</v>
      </c>
      <c r="E178" s="76" t="s">
        <v>237</v>
      </c>
      <c r="F178" s="95"/>
      <c r="G178" s="96">
        <v>0</v>
      </c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1:76" s="81" customFormat="1" x14ac:dyDescent="0.25">
      <c r="A179" s="110"/>
      <c r="B179" s="95"/>
      <c r="C179" s="95"/>
      <c r="D179" s="76" t="s">
        <v>243</v>
      </c>
      <c r="E179" s="76" t="s">
        <v>239</v>
      </c>
      <c r="F179" s="95"/>
      <c r="G179" s="96">
        <v>4.74</v>
      </c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1:76" s="81" customFormat="1" x14ac:dyDescent="0.25">
      <c r="A180" s="66" t="s">
        <v>63</v>
      </c>
      <c r="B180" s="72" t="s">
        <v>55</v>
      </c>
      <c r="C180" s="72" t="s">
        <v>244</v>
      </c>
      <c r="D180" s="174" t="s">
        <v>245</v>
      </c>
      <c r="E180" s="174"/>
      <c r="F180" s="72" t="s">
        <v>192</v>
      </c>
      <c r="G180" s="90">
        <v>78.050250000000005</v>
      </c>
      <c r="H180" s="91"/>
      <c r="I180" s="92" t="s">
        <v>63</v>
      </c>
      <c r="J180" s="90">
        <f>G180*AO180</f>
        <v>0</v>
      </c>
      <c r="K180" s="90">
        <f>G180*AP180</f>
        <v>0</v>
      </c>
      <c r="L180" s="90">
        <f>G180*H180</f>
        <v>0</v>
      </c>
      <c r="M180" s="90">
        <f>L180*(1+BW180/100)</f>
        <v>0</v>
      </c>
      <c r="N180" s="90">
        <v>0.96299999999999997</v>
      </c>
      <c r="O180" s="90">
        <f>G180*N180</f>
        <v>75.16239075</v>
      </c>
      <c r="P180" s="92" t="s">
        <v>64</v>
      </c>
      <c r="Z180" s="93">
        <f>IF(AQ180="5",BJ180,0)</f>
        <v>0</v>
      </c>
      <c r="AB180" s="93">
        <f>IF(AQ180="1",BH180,0)</f>
        <v>0</v>
      </c>
      <c r="AC180" s="93">
        <f>IF(AQ180="1",BI180,0)</f>
        <v>0</v>
      </c>
      <c r="AD180" s="93">
        <f>IF(AQ180="7",BH180,0)</f>
        <v>0</v>
      </c>
      <c r="AE180" s="93">
        <f>IF(AQ180="7",BI180,0)</f>
        <v>0</v>
      </c>
      <c r="AF180" s="93">
        <f>IF(AQ180="2",BH180,0)</f>
        <v>0</v>
      </c>
      <c r="AG180" s="93">
        <f>IF(AQ180="2",BI180,0)</f>
        <v>0</v>
      </c>
      <c r="AH180" s="93">
        <f>IF(AQ180="0",BJ180,0)</f>
        <v>0</v>
      </c>
      <c r="AI180" s="88" t="s">
        <v>55</v>
      </c>
      <c r="AJ180" s="93">
        <f>IF(AN180=0,L180,0)</f>
        <v>0</v>
      </c>
      <c r="AK180" s="93">
        <f>IF(AN180=12,L180,0)</f>
        <v>0</v>
      </c>
      <c r="AL180" s="93">
        <f>IF(AN180=21,L180,0)</f>
        <v>0</v>
      </c>
      <c r="AN180" s="93">
        <v>21</v>
      </c>
      <c r="AO180" s="93">
        <f>H180*0.733230783</f>
        <v>0</v>
      </c>
      <c r="AP180" s="93">
        <f>H180*(1-0.733230783)</f>
        <v>0</v>
      </c>
      <c r="AQ180" s="94" t="s">
        <v>59</v>
      </c>
      <c r="AV180" s="93">
        <f>AW180+AX180</f>
        <v>0</v>
      </c>
      <c r="AW180" s="93">
        <f>G180*AO180</f>
        <v>0</v>
      </c>
      <c r="AX180" s="93">
        <f>G180*AP180</f>
        <v>0</v>
      </c>
      <c r="AY180" s="94" t="s">
        <v>223</v>
      </c>
      <c r="AZ180" s="94" t="s">
        <v>208</v>
      </c>
      <c r="BA180" s="88" t="s">
        <v>67</v>
      </c>
      <c r="BC180" s="93">
        <f>AW180+AX180</f>
        <v>0</v>
      </c>
      <c r="BD180" s="93">
        <f>H180/(100-BE180)*100</f>
        <v>0</v>
      </c>
      <c r="BE180" s="93">
        <v>0</v>
      </c>
      <c r="BF180" s="93">
        <f>O180</f>
        <v>75.16239075</v>
      </c>
      <c r="BH180" s="93">
        <f>G180*AO180</f>
        <v>0</v>
      </c>
      <c r="BI180" s="93">
        <f>G180*AP180</f>
        <v>0</v>
      </c>
      <c r="BJ180" s="93">
        <f>G180*H180</f>
        <v>0</v>
      </c>
      <c r="BK180" s="93"/>
      <c r="BL180" s="93">
        <v>27</v>
      </c>
      <c r="BW180" s="93" t="str">
        <f>I180</f>
        <v>21</v>
      </c>
      <c r="BX180" s="2" t="s">
        <v>245</v>
      </c>
    </row>
    <row r="181" spans="1:76" s="81" customFormat="1" ht="13.5" customHeight="1" x14ac:dyDescent="0.25">
      <c r="A181" s="110"/>
      <c r="B181" s="95"/>
      <c r="C181" s="95"/>
      <c r="D181" s="179" t="s">
        <v>236</v>
      </c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</row>
    <row r="182" spans="1:76" s="81" customFormat="1" x14ac:dyDescent="0.25">
      <c r="A182" s="110"/>
      <c r="B182" s="95"/>
      <c r="C182" s="95"/>
      <c r="D182" s="76" t="s">
        <v>54</v>
      </c>
      <c r="E182" s="76" t="s">
        <v>228</v>
      </c>
      <c r="F182" s="95"/>
      <c r="G182" s="96">
        <v>0</v>
      </c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1:76" s="81" customFormat="1" x14ac:dyDescent="0.25">
      <c r="A183" s="110"/>
      <c r="B183" s="95"/>
      <c r="C183" s="95"/>
      <c r="D183" s="76" t="s">
        <v>246</v>
      </c>
      <c r="E183" s="76" t="s">
        <v>54</v>
      </c>
      <c r="F183" s="95"/>
      <c r="G183" s="96">
        <v>12.067500000000001</v>
      </c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1:76" s="81" customFormat="1" x14ac:dyDescent="0.25">
      <c r="A184" s="110"/>
      <c r="B184" s="95"/>
      <c r="C184" s="95"/>
      <c r="D184" s="76" t="s">
        <v>247</v>
      </c>
      <c r="E184" s="76" t="s">
        <v>54</v>
      </c>
      <c r="F184" s="95"/>
      <c r="G184" s="96">
        <v>0</v>
      </c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1:76" s="81" customFormat="1" x14ac:dyDescent="0.25">
      <c r="A185" s="110"/>
      <c r="B185" s="95"/>
      <c r="C185" s="95"/>
      <c r="D185" s="76" t="s">
        <v>248</v>
      </c>
      <c r="E185" s="76" t="s">
        <v>54</v>
      </c>
      <c r="F185" s="95"/>
      <c r="G185" s="96">
        <v>5.5102500000000001</v>
      </c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1:76" s="81" customFormat="1" x14ac:dyDescent="0.25">
      <c r="A186" s="110"/>
      <c r="B186" s="95"/>
      <c r="C186" s="95"/>
      <c r="D186" s="76" t="s">
        <v>249</v>
      </c>
      <c r="E186" s="76" t="s">
        <v>54</v>
      </c>
      <c r="F186" s="95"/>
      <c r="G186" s="96">
        <v>8.35</v>
      </c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1:76" s="81" customFormat="1" x14ac:dyDescent="0.25">
      <c r="A187" s="110"/>
      <c r="B187" s="95"/>
      <c r="C187" s="95"/>
      <c r="D187" s="76" t="s">
        <v>250</v>
      </c>
      <c r="E187" s="76" t="s">
        <v>54</v>
      </c>
      <c r="F187" s="95"/>
      <c r="G187" s="96">
        <v>16.032499999999999</v>
      </c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1:76" s="81" customFormat="1" x14ac:dyDescent="0.25">
      <c r="A188" s="110"/>
      <c r="B188" s="95"/>
      <c r="C188" s="95"/>
      <c r="D188" s="76" t="s">
        <v>251</v>
      </c>
      <c r="E188" s="76" t="s">
        <v>54</v>
      </c>
      <c r="F188" s="95"/>
      <c r="G188" s="96">
        <v>8.5749999999999993</v>
      </c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1:76" s="81" customFormat="1" x14ac:dyDescent="0.25">
      <c r="A189" s="110"/>
      <c r="B189" s="95"/>
      <c r="C189" s="95"/>
      <c r="D189" s="76" t="s">
        <v>252</v>
      </c>
      <c r="E189" s="76" t="s">
        <v>54</v>
      </c>
      <c r="F189" s="95"/>
      <c r="G189" s="96">
        <v>17.63</v>
      </c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1:76" s="81" customFormat="1" x14ac:dyDescent="0.25">
      <c r="A190" s="110"/>
      <c r="B190" s="95"/>
      <c r="C190" s="95"/>
      <c r="D190" s="76" t="s">
        <v>253</v>
      </c>
      <c r="E190" s="76" t="s">
        <v>54</v>
      </c>
      <c r="F190" s="95"/>
      <c r="G190" s="96">
        <v>2.15</v>
      </c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1:76" s="81" customFormat="1" x14ac:dyDescent="0.25">
      <c r="A191" s="110"/>
      <c r="B191" s="95"/>
      <c r="C191" s="95"/>
      <c r="D191" s="76" t="s">
        <v>254</v>
      </c>
      <c r="E191" s="76" t="s">
        <v>54</v>
      </c>
      <c r="F191" s="95"/>
      <c r="G191" s="96">
        <v>7.7350000000000003</v>
      </c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1:76" s="81" customFormat="1" x14ac:dyDescent="0.25">
      <c r="A192" s="66" t="s">
        <v>255</v>
      </c>
      <c r="B192" s="72" t="s">
        <v>55</v>
      </c>
      <c r="C192" s="72" t="s">
        <v>256</v>
      </c>
      <c r="D192" s="174" t="s">
        <v>257</v>
      </c>
      <c r="E192" s="174"/>
      <c r="F192" s="72" t="s">
        <v>192</v>
      </c>
      <c r="G192" s="90">
        <v>50.942999999999998</v>
      </c>
      <c r="H192" s="91"/>
      <c r="I192" s="92" t="s">
        <v>63</v>
      </c>
      <c r="J192" s="90">
        <f>G192*AO192</f>
        <v>0</v>
      </c>
      <c r="K192" s="90">
        <f>G192*AP192</f>
        <v>0</v>
      </c>
      <c r="L192" s="90">
        <f>G192*H192</f>
        <v>0</v>
      </c>
      <c r="M192" s="90">
        <f>L192*(1+BW192/100)</f>
        <v>0</v>
      </c>
      <c r="N192" s="90">
        <v>1.175</v>
      </c>
      <c r="O192" s="90">
        <f>G192*N192</f>
        <v>59.858024999999998</v>
      </c>
      <c r="P192" s="92" t="s">
        <v>64</v>
      </c>
      <c r="Z192" s="93">
        <f>IF(AQ192="5",BJ192,0)</f>
        <v>0</v>
      </c>
      <c r="AB192" s="93">
        <f>IF(AQ192="1",BH192,0)</f>
        <v>0</v>
      </c>
      <c r="AC192" s="93">
        <f>IF(AQ192="1",BI192,0)</f>
        <v>0</v>
      </c>
      <c r="AD192" s="93">
        <f>IF(AQ192="7",BH192,0)</f>
        <v>0</v>
      </c>
      <c r="AE192" s="93">
        <f>IF(AQ192="7",BI192,0)</f>
        <v>0</v>
      </c>
      <c r="AF192" s="93">
        <f>IF(AQ192="2",BH192,0)</f>
        <v>0</v>
      </c>
      <c r="AG192" s="93">
        <f>IF(AQ192="2",BI192,0)</f>
        <v>0</v>
      </c>
      <c r="AH192" s="93">
        <f>IF(AQ192="0",BJ192,0)</f>
        <v>0</v>
      </c>
      <c r="AI192" s="88" t="s">
        <v>55</v>
      </c>
      <c r="AJ192" s="93">
        <f>IF(AN192=0,L192,0)</f>
        <v>0</v>
      </c>
      <c r="AK192" s="93">
        <f>IF(AN192=12,L192,0)</f>
        <v>0</v>
      </c>
      <c r="AL192" s="93">
        <f>IF(AN192=21,L192,0)</f>
        <v>0</v>
      </c>
      <c r="AN192" s="93">
        <v>21</v>
      </c>
      <c r="AO192" s="93">
        <f>H192*0.770857117</f>
        <v>0</v>
      </c>
      <c r="AP192" s="93">
        <f>H192*(1-0.770857117)</f>
        <v>0</v>
      </c>
      <c r="AQ192" s="94" t="s">
        <v>59</v>
      </c>
      <c r="AV192" s="93">
        <f>AW192+AX192</f>
        <v>0</v>
      </c>
      <c r="AW192" s="93">
        <f>G192*AO192</f>
        <v>0</v>
      </c>
      <c r="AX192" s="93">
        <f>G192*AP192</f>
        <v>0</v>
      </c>
      <c r="AY192" s="94" t="s">
        <v>223</v>
      </c>
      <c r="AZ192" s="94" t="s">
        <v>208</v>
      </c>
      <c r="BA192" s="88" t="s">
        <v>67</v>
      </c>
      <c r="BC192" s="93">
        <f>AW192+AX192</f>
        <v>0</v>
      </c>
      <c r="BD192" s="93">
        <f>H192/(100-BE192)*100</f>
        <v>0</v>
      </c>
      <c r="BE192" s="93">
        <v>0</v>
      </c>
      <c r="BF192" s="93">
        <f>O192</f>
        <v>59.858024999999998</v>
      </c>
      <c r="BH192" s="93">
        <f>G192*AO192</f>
        <v>0</v>
      </c>
      <c r="BI192" s="93">
        <f>G192*AP192</f>
        <v>0</v>
      </c>
      <c r="BJ192" s="93">
        <f>G192*H192</f>
        <v>0</v>
      </c>
      <c r="BK192" s="93"/>
      <c r="BL192" s="93">
        <v>27</v>
      </c>
      <c r="BW192" s="93" t="str">
        <f>I192</f>
        <v>21</v>
      </c>
      <c r="BX192" s="2" t="s">
        <v>257</v>
      </c>
    </row>
    <row r="193" spans="1:76" s="81" customFormat="1" ht="13.5" customHeight="1" x14ac:dyDescent="0.25">
      <c r="A193" s="110"/>
      <c r="B193" s="95"/>
      <c r="C193" s="95"/>
      <c r="D193" s="179" t="s">
        <v>236</v>
      </c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</row>
    <row r="194" spans="1:76" s="81" customFormat="1" x14ac:dyDescent="0.25">
      <c r="A194" s="110"/>
      <c r="B194" s="95"/>
      <c r="C194" s="95"/>
      <c r="D194" s="76" t="s">
        <v>54</v>
      </c>
      <c r="E194" s="76" t="s">
        <v>228</v>
      </c>
      <c r="F194" s="95"/>
      <c r="G194" s="96">
        <v>0</v>
      </c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1:76" s="81" customFormat="1" x14ac:dyDescent="0.25">
      <c r="A195" s="110"/>
      <c r="B195" s="95"/>
      <c r="C195" s="95"/>
      <c r="D195" s="76" t="s">
        <v>258</v>
      </c>
      <c r="E195" s="76" t="s">
        <v>54</v>
      </c>
      <c r="F195" s="95"/>
      <c r="G195" s="96">
        <v>8.3175000000000008</v>
      </c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1:76" s="81" customFormat="1" x14ac:dyDescent="0.25">
      <c r="A196" s="110"/>
      <c r="B196" s="95"/>
      <c r="C196" s="95"/>
      <c r="D196" s="76" t="s">
        <v>259</v>
      </c>
      <c r="E196" s="76" t="s">
        <v>54</v>
      </c>
      <c r="F196" s="95"/>
      <c r="G196" s="96">
        <v>37.776499999999999</v>
      </c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1:76" s="81" customFormat="1" x14ac:dyDescent="0.25">
      <c r="A197" s="110"/>
      <c r="B197" s="95"/>
      <c r="C197" s="95"/>
      <c r="D197" s="76" t="s">
        <v>260</v>
      </c>
      <c r="E197" s="76" t="s">
        <v>54</v>
      </c>
      <c r="F197" s="95"/>
      <c r="G197" s="96">
        <v>4.0289999999999999</v>
      </c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1:76" s="81" customFormat="1" x14ac:dyDescent="0.25">
      <c r="A198" s="110"/>
      <c r="B198" s="95"/>
      <c r="C198" s="95"/>
      <c r="D198" s="76" t="s">
        <v>261</v>
      </c>
      <c r="E198" s="76" t="s">
        <v>54</v>
      </c>
      <c r="F198" s="95"/>
      <c r="G198" s="96">
        <v>0.82</v>
      </c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1:76" s="81" customFormat="1" x14ac:dyDescent="0.25">
      <c r="A199" s="66" t="s">
        <v>262</v>
      </c>
      <c r="B199" s="72" t="s">
        <v>55</v>
      </c>
      <c r="C199" s="72" t="s">
        <v>263</v>
      </c>
      <c r="D199" s="174" t="s">
        <v>264</v>
      </c>
      <c r="E199" s="174"/>
      <c r="F199" s="72" t="s">
        <v>62</v>
      </c>
      <c r="G199" s="90">
        <v>1.216</v>
      </c>
      <c r="H199" s="91"/>
      <c r="I199" s="92" t="s">
        <v>63</v>
      </c>
      <c r="J199" s="90">
        <f>G199*AO199</f>
        <v>0</v>
      </c>
      <c r="K199" s="90">
        <f>G199*AP199</f>
        <v>0</v>
      </c>
      <c r="L199" s="90">
        <f>G199*H199</f>
        <v>0</v>
      </c>
      <c r="M199" s="90">
        <f>L199*(1+BW199/100)</f>
        <v>0</v>
      </c>
      <c r="N199" s="90">
        <v>2.5249999999999999</v>
      </c>
      <c r="O199" s="90">
        <f>G199*N199</f>
        <v>3.0703999999999998</v>
      </c>
      <c r="P199" s="92" t="s">
        <v>64</v>
      </c>
      <c r="Z199" s="93">
        <f>IF(AQ199="5",BJ199,0)</f>
        <v>0</v>
      </c>
      <c r="AB199" s="93">
        <f>IF(AQ199="1",BH199,0)</f>
        <v>0</v>
      </c>
      <c r="AC199" s="93">
        <f>IF(AQ199="1",BI199,0)</f>
        <v>0</v>
      </c>
      <c r="AD199" s="93">
        <f>IF(AQ199="7",BH199,0)</f>
        <v>0</v>
      </c>
      <c r="AE199" s="93">
        <f>IF(AQ199="7",BI199,0)</f>
        <v>0</v>
      </c>
      <c r="AF199" s="93">
        <f>IF(AQ199="2",BH199,0)</f>
        <v>0</v>
      </c>
      <c r="AG199" s="93">
        <f>IF(AQ199="2",BI199,0)</f>
        <v>0</v>
      </c>
      <c r="AH199" s="93">
        <f>IF(AQ199="0",BJ199,0)</f>
        <v>0</v>
      </c>
      <c r="AI199" s="88" t="s">
        <v>55</v>
      </c>
      <c r="AJ199" s="93">
        <f>IF(AN199=0,L199,0)</f>
        <v>0</v>
      </c>
      <c r="AK199" s="93">
        <f>IF(AN199=12,L199,0)</f>
        <v>0</v>
      </c>
      <c r="AL199" s="93">
        <f>IF(AN199=21,L199,0)</f>
        <v>0</v>
      </c>
      <c r="AN199" s="93">
        <v>21</v>
      </c>
      <c r="AO199" s="93">
        <f>H199*0.920982378</f>
        <v>0</v>
      </c>
      <c r="AP199" s="93">
        <f>H199*(1-0.920982378)</f>
        <v>0</v>
      </c>
      <c r="AQ199" s="94" t="s">
        <v>59</v>
      </c>
      <c r="AV199" s="93">
        <f>AW199+AX199</f>
        <v>0</v>
      </c>
      <c r="AW199" s="93">
        <f>G199*AO199</f>
        <v>0</v>
      </c>
      <c r="AX199" s="93">
        <f>G199*AP199</f>
        <v>0</v>
      </c>
      <c r="AY199" s="94" t="s">
        <v>223</v>
      </c>
      <c r="AZ199" s="94" t="s">
        <v>208</v>
      </c>
      <c r="BA199" s="88" t="s">
        <v>67</v>
      </c>
      <c r="BC199" s="93">
        <f>AW199+AX199</f>
        <v>0</v>
      </c>
      <c r="BD199" s="93">
        <f>H199/(100-BE199)*100</f>
        <v>0</v>
      </c>
      <c r="BE199" s="93">
        <v>0</v>
      </c>
      <c r="BF199" s="93">
        <f>O199</f>
        <v>3.0703999999999998</v>
      </c>
      <c r="BH199" s="93">
        <f>G199*AO199</f>
        <v>0</v>
      </c>
      <c r="BI199" s="93">
        <f>G199*AP199</f>
        <v>0</v>
      </c>
      <c r="BJ199" s="93">
        <f>G199*H199</f>
        <v>0</v>
      </c>
      <c r="BK199" s="93"/>
      <c r="BL199" s="93">
        <v>27</v>
      </c>
      <c r="BW199" s="93" t="str">
        <f>I199</f>
        <v>21</v>
      </c>
      <c r="BX199" s="2" t="s">
        <v>264</v>
      </c>
    </row>
    <row r="200" spans="1:76" s="81" customFormat="1" x14ac:dyDescent="0.25">
      <c r="A200" s="110"/>
      <c r="B200" s="95"/>
      <c r="C200" s="95"/>
      <c r="D200" s="76" t="s">
        <v>54</v>
      </c>
      <c r="E200" s="76" t="s">
        <v>228</v>
      </c>
      <c r="F200" s="95"/>
      <c r="G200" s="96">
        <v>0</v>
      </c>
      <c r="H200" s="97"/>
      <c r="I200" s="95"/>
      <c r="J200" s="95"/>
      <c r="K200" s="95"/>
      <c r="L200" s="95"/>
      <c r="M200" s="95"/>
      <c r="N200" s="95"/>
      <c r="O200" s="95"/>
      <c r="P200" s="95"/>
    </row>
    <row r="201" spans="1:76" s="81" customFormat="1" x14ac:dyDescent="0.25">
      <c r="A201" s="110"/>
      <c r="B201" s="95"/>
      <c r="C201" s="95"/>
      <c r="D201" s="76" t="s">
        <v>102</v>
      </c>
      <c r="E201" s="76" t="s">
        <v>103</v>
      </c>
      <c r="F201" s="95"/>
      <c r="G201" s="96">
        <v>1.216</v>
      </c>
      <c r="H201" s="97"/>
      <c r="I201" s="95"/>
      <c r="J201" s="95"/>
      <c r="K201" s="95"/>
      <c r="L201" s="95"/>
      <c r="M201" s="95"/>
      <c r="N201" s="95"/>
      <c r="O201" s="95"/>
      <c r="P201" s="95"/>
    </row>
    <row r="202" spans="1:76" s="81" customFormat="1" x14ac:dyDescent="0.25">
      <c r="A202" s="66" t="s">
        <v>265</v>
      </c>
      <c r="B202" s="72" t="s">
        <v>55</v>
      </c>
      <c r="C202" s="72" t="s">
        <v>266</v>
      </c>
      <c r="D202" s="174" t="s">
        <v>267</v>
      </c>
      <c r="E202" s="174"/>
      <c r="F202" s="72" t="s">
        <v>192</v>
      </c>
      <c r="G202" s="90">
        <v>2.8</v>
      </c>
      <c r="H202" s="91"/>
      <c r="I202" s="92" t="s">
        <v>63</v>
      </c>
      <c r="J202" s="90">
        <f>G202*AO202</f>
        <v>0</v>
      </c>
      <c r="K202" s="90">
        <f>G202*AP202</f>
        <v>0</v>
      </c>
      <c r="L202" s="90">
        <f>G202*H202</f>
        <v>0</v>
      </c>
      <c r="M202" s="90">
        <f>L202*(1+BW202/100)</f>
        <v>0</v>
      </c>
      <c r="N202" s="90">
        <v>3.9199999999999999E-2</v>
      </c>
      <c r="O202" s="90">
        <f>G202*N202</f>
        <v>0.10975999999999998</v>
      </c>
      <c r="P202" s="92" t="s">
        <v>64</v>
      </c>
      <c r="Z202" s="93">
        <f>IF(AQ202="5",BJ202,0)</f>
        <v>0</v>
      </c>
      <c r="AB202" s="93">
        <f>IF(AQ202="1",BH202,0)</f>
        <v>0</v>
      </c>
      <c r="AC202" s="93">
        <f>IF(AQ202="1",BI202,0)</f>
        <v>0</v>
      </c>
      <c r="AD202" s="93">
        <f>IF(AQ202="7",BH202,0)</f>
        <v>0</v>
      </c>
      <c r="AE202" s="93">
        <f>IF(AQ202="7",BI202,0)</f>
        <v>0</v>
      </c>
      <c r="AF202" s="93">
        <f>IF(AQ202="2",BH202,0)</f>
        <v>0</v>
      </c>
      <c r="AG202" s="93">
        <f>IF(AQ202="2",BI202,0)</f>
        <v>0</v>
      </c>
      <c r="AH202" s="93">
        <f>IF(AQ202="0",BJ202,0)</f>
        <v>0</v>
      </c>
      <c r="AI202" s="88" t="s">
        <v>55</v>
      </c>
      <c r="AJ202" s="93">
        <f>IF(AN202=0,L202,0)</f>
        <v>0</v>
      </c>
      <c r="AK202" s="93">
        <f>IF(AN202=12,L202,0)</f>
        <v>0</v>
      </c>
      <c r="AL202" s="93">
        <f>IF(AN202=21,L202,0)</f>
        <v>0</v>
      </c>
      <c r="AN202" s="93">
        <v>21</v>
      </c>
      <c r="AO202" s="93">
        <f>H202*0.251445827</f>
        <v>0</v>
      </c>
      <c r="AP202" s="93">
        <f>H202*(1-0.251445827)</f>
        <v>0</v>
      </c>
      <c r="AQ202" s="94" t="s">
        <v>59</v>
      </c>
      <c r="AV202" s="93">
        <f>AW202+AX202</f>
        <v>0</v>
      </c>
      <c r="AW202" s="93">
        <f>G202*AO202</f>
        <v>0</v>
      </c>
      <c r="AX202" s="93">
        <f>G202*AP202</f>
        <v>0</v>
      </c>
      <c r="AY202" s="94" t="s">
        <v>223</v>
      </c>
      <c r="AZ202" s="94" t="s">
        <v>208</v>
      </c>
      <c r="BA202" s="88" t="s">
        <v>67</v>
      </c>
      <c r="BC202" s="93">
        <f>AW202+AX202</f>
        <v>0</v>
      </c>
      <c r="BD202" s="93">
        <f>H202/(100-BE202)*100</f>
        <v>0</v>
      </c>
      <c r="BE202" s="93">
        <v>0</v>
      </c>
      <c r="BF202" s="93">
        <f>O202</f>
        <v>0.10975999999999998</v>
      </c>
      <c r="BH202" s="93">
        <f>G202*AO202</f>
        <v>0</v>
      </c>
      <c r="BI202" s="93">
        <f>G202*AP202</f>
        <v>0</v>
      </c>
      <c r="BJ202" s="93">
        <f>G202*H202</f>
        <v>0</v>
      </c>
      <c r="BK202" s="93"/>
      <c r="BL202" s="93">
        <v>27</v>
      </c>
      <c r="BW202" s="93" t="str">
        <f>I202</f>
        <v>21</v>
      </c>
      <c r="BX202" s="2" t="s">
        <v>267</v>
      </c>
    </row>
    <row r="203" spans="1:76" s="81" customFormat="1" x14ac:dyDescent="0.25">
      <c r="A203" s="110"/>
      <c r="B203" s="95"/>
      <c r="C203" s="95"/>
      <c r="D203" s="76" t="s">
        <v>54</v>
      </c>
      <c r="E203" s="76" t="s">
        <v>228</v>
      </c>
      <c r="F203" s="95"/>
      <c r="G203" s="96">
        <v>0</v>
      </c>
      <c r="H203" s="97"/>
      <c r="I203" s="95"/>
      <c r="J203" s="95"/>
      <c r="K203" s="95"/>
      <c r="L203" s="95"/>
      <c r="M203" s="95"/>
      <c r="N203" s="95"/>
      <c r="O203" s="95"/>
      <c r="P203" s="95"/>
    </row>
    <row r="204" spans="1:76" s="81" customFormat="1" x14ac:dyDescent="0.25">
      <c r="A204" s="110"/>
      <c r="B204" s="95"/>
      <c r="C204" s="95"/>
      <c r="D204" s="76" t="s">
        <v>268</v>
      </c>
      <c r="E204" s="76" t="s">
        <v>103</v>
      </c>
      <c r="F204" s="95"/>
      <c r="G204" s="96">
        <v>2.8</v>
      </c>
      <c r="H204" s="97"/>
      <c r="I204" s="95"/>
      <c r="J204" s="95"/>
      <c r="K204" s="95"/>
      <c r="L204" s="95"/>
      <c r="M204" s="95"/>
      <c r="N204" s="95"/>
      <c r="O204" s="95"/>
      <c r="P204" s="95"/>
    </row>
    <row r="205" spans="1:76" s="81" customFormat="1" x14ac:dyDescent="0.25">
      <c r="A205" s="66" t="s">
        <v>269</v>
      </c>
      <c r="B205" s="72" t="s">
        <v>55</v>
      </c>
      <c r="C205" s="72" t="s">
        <v>270</v>
      </c>
      <c r="D205" s="174" t="s">
        <v>271</v>
      </c>
      <c r="E205" s="174"/>
      <c r="F205" s="72" t="s">
        <v>192</v>
      </c>
      <c r="G205" s="90">
        <v>2.8</v>
      </c>
      <c r="H205" s="91"/>
      <c r="I205" s="92" t="s">
        <v>63</v>
      </c>
      <c r="J205" s="90">
        <f>G205*AO205</f>
        <v>0</v>
      </c>
      <c r="K205" s="90">
        <f>G205*AP205</f>
        <v>0</v>
      </c>
      <c r="L205" s="90">
        <f>G205*H205</f>
        <v>0</v>
      </c>
      <c r="M205" s="90">
        <f>L205*(1+BW205/100)</f>
        <v>0</v>
      </c>
      <c r="N205" s="90">
        <v>0</v>
      </c>
      <c r="O205" s="90">
        <f>G205*N205</f>
        <v>0</v>
      </c>
      <c r="P205" s="92" t="s">
        <v>64</v>
      </c>
      <c r="Z205" s="93">
        <f>IF(AQ205="5",BJ205,0)</f>
        <v>0</v>
      </c>
      <c r="AB205" s="93">
        <f>IF(AQ205="1",BH205,0)</f>
        <v>0</v>
      </c>
      <c r="AC205" s="93">
        <f>IF(AQ205="1",BI205,0)</f>
        <v>0</v>
      </c>
      <c r="AD205" s="93">
        <f>IF(AQ205="7",BH205,0)</f>
        <v>0</v>
      </c>
      <c r="AE205" s="93">
        <f>IF(AQ205="7",BI205,0)</f>
        <v>0</v>
      </c>
      <c r="AF205" s="93">
        <f>IF(AQ205="2",BH205,0)</f>
        <v>0</v>
      </c>
      <c r="AG205" s="93">
        <f>IF(AQ205="2",BI205,0)</f>
        <v>0</v>
      </c>
      <c r="AH205" s="93">
        <f>IF(AQ205="0",BJ205,0)</f>
        <v>0</v>
      </c>
      <c r="AI205" s="88" t="s">
        <v>55</v>
      </c>
      <c r="AJ205" s="93">
        <f>IF(AN205=0,L205,0)</f>
        <v>0</v>
      </c>
      <c r="AK205" s="93">
        <f>IF(AN205=12,L205,0)</f>
        <v>0</v>
      </c>
      <c r="AL205" s="93">
        <f>IF(AN205=21,L205,0)</f>
        <v>0</v>
      </c>
      <c r="AN205" s="93">
        <v>21</v>
      </c>
      <c r="AO205" s="93">
        <f>H205*0</f>
        <v>0</v>
      </c>
      <c r="AP205" s="93">
        <f>H205*(1-0)</f>
        <v>0</v>
      </c>
      <c r="AQ205" s="94" t="s">
        <v>59</v>
      </c>
      <c r="AV205" s="93">
        <f>AW205+AX205</f>
        <v>0</v>
      </c>
      <c r="AW205" s="93">
        <f>G205*AO205</f>
        <v>0</v>
      </c>
      <c r="AX205" s="93">
        <f>G205*AP205</f>
        <v>0</v>
      </c>
      <c r="AY205" s="94" t="s">
        <v>223</v>
      </c>
      <c r="AZ205" s="94" t="s">
        <v>208</v>
      </c>
      <c r="BA205" s="88" t="s">
        <v>67</v>
      </c>
      <c r="BC205" s="93">
        <f>AW205+AX205</f>
        <v>0</v>
      </c>
      <c r="BD205" s="93">
        <f>H205/(100-BE205)*100</f>
        <v>0</v>
      </c>
      <c r="BE205" s="93">
        <v>0</v>
      </c>
      <c r="BF205" s="93">
        <f>O205</f>
        <v>0</v>
      </c>
      <c r="BH205" s="93">
        <f>G205*AO205</f>
        <v>0</v>
      </c>
      <c r="BI205" s="93">
        <f>G205*AP205</f>
        <v>0</v>
      </c>
      <c r="BJ205" s="93">
        <f>G205*H205</f>
        <v>0</v>
      </c>
      <c r="BK205" s="93"/>
      <c r="BL205" s="93">
        <v>27</v>
      </c>
      <c r="BW205" s="93" t="str">
        <f>I205</f>
        <v>21</v>
      </c>
      <c r="BX205" s="2" t="s">
        <v>271</v>
      </c>
    </row>
    <row r="206" spans="1:76" s="81" customFormat="1" x14ac:dyDescent="0.25">
      <c r="A206" s="66" t="s">
        <v>272</v>
      </c>
      <c r="B206" s="72" t="s">
        <v>55</v>
      </c>
      <c r="C206" s="72" t="s">
        <v>273</v>
      </c>
      <c r="D206" s="174" t="s">
        <v>274</v>
      </c>
      <c r="E206" s="174"/>
      <c r="F206" s="72" t="s">
        <v>62</v>
      </c>
      <c r="G206" s="90">
        <v>73.592839999999995</v>
      </c>
      <c r="H206" s="91"/>
      <c r="I206" s="92" t="s">
        <v>63</v>
      </c>
      <c r="J206" s="90">
        <f>G206*AO206</f>
        <v>0</v>
      </c>
      <c r="K206" s="90">
        <f>G206*AP206</f>
        <v>0</v>
      </c>
      <c r="L206" s="90">
        <f>G206*H206</f>
        <v>0</v>
      </c>
      <c r="M206" s="90">
        <f>L206*(1+BW206/100)</f>
        <v>0</v>
      </c>
      <c r="N206" s="90">
        <v>1.8180000000000001</v>
      </c>
      <c r="O206" s="90">
        <f>G206*N206</f>
        <v>133.79178311999999</v>
      </c>
      <c r="P206" s="92" t="s">
        <v>64</v>
      </c>
      <c r="Z206" s="93">
        <f>IF(AQ206="5",BJ206,0)</f>
        <v>0</v>
      </c>
      <c r="AB206" s="93">
        <f>IF(AQ206="1",BH206,0)</f>
        <v>0</v>
      </c>
      <c r="AC206" s="93">
        <f>IF(AQ206="1",BI206,0)</f>
        <v>0</v>
      </c>
      <c r="AD206" s="93">
        <f>IF(AQ206="7",BH206,0)</f>
        <v>0</v>
      </c>
      <c r="AE206" s="93">
        <f>IF(AQ206="7",BI206,0)</f>
        <v>0</v>
      </c>
      <c r="AF206" s="93">
        <f>IF(AQ206="2",BH206,0)</f>
        <v>0</v>
      </c>
      <c r="AG206" s="93">
        <f>IF(AQ206="2",BI206,0)</f>
        <v>0</v>
      </c>
      <c r="AH206" s="93">
        <f>IF(AQ206="0",BJ206,0)</f>
        <v>0</v>
      </c>
      <c r="AI206" s="88" t="s">
        <v>55</v>
      </c>
      <c r="AJ206" s="93">
        <f>IF(AN206=0,L206,0)</f>
        <v>0</v>
      </c>
      <c r="AK206" s="93">
        <f>IF(AN206=12,L206,0)</f>
        <v>0</v>
      </c>
      <c r="AL206" s="93">
        <f>IF(AN206=21,L206,0)</f>
        <v>0</v>
      </c>
      <c r="AN206" s="93">
        <v>21</v>
      </c>
      <c r="AO206" s="93">
        <f>H206*0.628372671</f>
        <v>0</v>
      </c>
      <c r="AP206" s="93">
        <f>H206*(1-0.628372671)</f>
        <v>0</v>
      </c>
      <c r="AQ206" s="94" t="s">
        <v>59</v>
      </c>
      <c r="AV206" s="93">
        <f>AW206+AX206</f>
        <v>0</v>
      </c>
      <c r="AW206" s="93">
        <f>G206*AO206</f>
        <v>0</v>
      </c>
      <c r="AX206" s="93">
        <f>G206*AP206</f>
        <v>0</v>
      </c>
      <c r="AY206" s="94" t="s">
        <v>223</v>
      </c>
      <c r="AZ206" s="94" t="s">
        <v>208</v>
      </c>
      <c r="BA206" s="88" t="s">
        <v>67</v>
      </c>
      <c r="BC206" s="93">
        <f>AW206+AX206</f>
        <v>0</v>
      </c>
      <c r="BD206" s="93">
        <f>H206/(100-BE206)*100</f>
        <v>0</v>
      </c>
      <c r="BE206" s="93">
        <v>0</v>
      </c>
      <c r="BF206" s="93">
        <f>O206</f>
        <v>133.79178311999999</v>
      </c>
      <c r="BH206" s="93">
        <f>G206*AO206</f>
        <v>0</v>
      </c>
      <c r="BI206" s="93">
        <f>G206*AP206</f>
        <v>0</v>
      </c>
      <c r="BJ206" s="93">
        <f>G206*H206</f>
        <v>0</v>
      </c>
      <c r="BK206" s="93"/>
      <c r="BL206" s="93">
        <v>27</v>
      </c>
      <c r="BW206" s="93" t="str">
        <f>I206</f>
        <v>21</v>
      </c>
      <c r="BX206" s="2" t="s">
        <v>274</v>
      </c>
    </row>
    <row r="207" spans="1:76" s="81" customFormat="1" x14ac:dyDescent="0.25">
      <c r="A207" s="110"/>
      <c r="B207" s="95"/>
      <c r="C207" s="95"/>
      <c r="D207" s="76" t="s">
        <v>54</v>
      </c>
      <c r="E207" s="76" t="s">
        <v>275</v>
      </c>
      <c r="F207" s="95"/>
      <c r="G207" s="96">
        <v>0</v>
      </c>
      <c r="H207" s="97"/>
      <c r="I207" s="95"/>
      <c r="J207" s="95"/>
      <c r="K207" s="95"/>
      <c r="L207" s="95"/>
      <c r="M207" s="95"/>
      <c r="N207" s="95"/>
      <c r="O207" s="95"/>
      <c r="P207" s="95"/>
    </row>
    <row r="208" spans="1:76" s="81" customFormat="1" ht="25.5" x14ac:dyDescent="0.25">
      <c r="A208" s="110"/>
      <c r="B208" s="95"/>
      <c r="C208" s="95"/>
      <c r="D208" s="76" t="s">
        <v>276</v>
      </c>
      <c r="E208" s="76" t="s">
        <v>54</v>
      </c>
      <c r="F208" s="95"/>
      <c r="G208" s="96">
        <v>73.592839999999995</v>
      </c>
      <c r="H208" s="97"/>
      <c r="I208" s="95"/>
      <c r="J208" s="95"/>
      <c r="K208" s="95"/>
      <c r="L208" s="95"/>
      <c r="M208" s="95"/>
      <c r="N208" s="95"/>
      <c r="O208" s="95"/>
      <c r="P208" s="95"/>
    </row>
    <row r="209" spans="1:76" s="81" customFormat="1" x14ac:dyDescent="0.25">
      <c r="A209" s="109" t="s">
        <v>54</v>
      </c>
      <c r="B209" s="74" t="s">
        <v>55</v>
      </c>
      <c r="C209" s="74" t="s">
        <v>277</v>
      </c>
      <c r="D209" s="180" t="s">
        <v>278</v>
      </c>
      <c r="E209" s="180"/>
      <c r="F209" s="85" t="s">
        <v>4</v>
      </c>
      <c r="G209" s="85" t="s">
        <v>4</v>
      </c>
      <c r="H209" s="98"/>
      <c r="I209" s="85" t="s">
        <v>4</v>
      </c>
      <c r="J209" s="86">
        <f>SUM(J210:J357)</f>
        <v>0</v>
      </c>
      <c r="K209" s="86">
        <f>SUM(K210:K357)</f>
        <v>0</v>
      </c>
      <c r="L209" s="86">
        <f>SUM(L210:L357)</f>
        <v>0</v>
      </c>
      <c r="M209" s="86">
        <f>SUM(M210:M357)</f>
        <v>0</v>
      </c>
      <c r="N209" s="87" t="s">
        <v>54</v>
      </c>
      <c r="O209" s="86">
        <f>SUM(O210:O357)</f>
        <v>829.5827197978</v>
      </c>
      <c r="P209" s="87" t="s">
        <v>54</v>
      </c>
      <c r="AI209" s="88" t="s">
        <v>55</v>
      </c>
      <c r="AS209" s="89">
        <f>SUM(AJ210:AJ357)</f>
        <v>0</v>
      </c>
      <c r="AT209" s="89">
        <f>SUM(AK210:AK357)</f>
        <v>0</v>
      </c>
      <c r="AU209" s="89">
        <f>SUM(AL210:AL357)</f>
        <v>0</v>
      </c>
    </row>
    <row r="210" spans="1:76" s="81" customFormat="1" x14ac:dyDescent="0.25">
      <c r="A210" s="66" t="s">
        <v>217</v>
      </c>
      <c r="B210" s="72" t="s">
        <v>55</v>
      </c>
      <c r="C210" s="72" t="s">
        <v>279</v>
      </c>
      <c r="D210" s="174" t="s">
        <v>280</v>
      </c>
      <c r="E210" s="174"/>
      <c r="F210" s="72" t="s">
        <v>222</v>
      </c>
      <c r="G210" s="90">
        <v>17.43</v>
      </c>
      <c r="H210" s="91"/>
      <c r="I210" s="92" t="s">
        <v>63</v>
      </c>
      <c r="J210" s="90">
        <f>G210*AO210</f>
        <v>0</v>
      </c>
      <c r="K210" s="90">
        <f>G210*AP210</f>
        <v>0</v>
      </c>
      <c r="L210" s="90">
        <f>G210*H210</f>
        <v>0</v>
      </c>
      <c r="M210" s="90">
        <f>L210*(1+BW210/100)</f>
        <v>0</v>
      </c>
      <c r="N210" s="90">
        <v>1.0202899999999999</v>
      </c>
      <c r="O210" s="90">
        <f>G210*N210</f>
        <v>17.7836547</v>
      </c>
      <c r="P210" s="92" t="s">
        <v>64</v>
      </c>
      <c r="Z210" s="93">
        <f>IF(AQ210="5",BJ210,0)</f>
        <v>0</v>
      </c>
      <c r="AB210" s="93">
        <f>IF(AQ210="1",BH210,0)</f>
        <v>0</v>
      </c>
      <c r="AC210" s="93">
        <f>IF(AQ210="1",BI210,0)</f>
        <v>0</v>
      </c>
      <c r="AD210" s="93">
        <f>IF(AQ210="7",BH210,0)</f>
        <v>0</v>
      </c>
      <c r="AE210" s="93">
        <f>IF(AQ210="7",BI210,0)</f>
        <v>0</v>
      </c>
      <c r="AF210" s="93">
        <f>IF(AQ210="2",BH210,0)</f>
        <v>0</v>
      </c>
      <c r="AG210" s="93">
        <f>IF(AQ210="2",BI210,0)</f>
        <v>0</v>
      </c>
      <c r="AH210" s="93">
        <f>IF(AQ210="0",BJ210,0)</f>
        <v>0</v>
      </c>
      <c r="AI210" s="88" t="s">
        <v>55</v>
      </c>
      <c r="AJ210" s="93">
        <f>IF(AN210=0,L210,0)</f>
        <v>0</v>
      </c>
      <c r="AK210" s="93">
        <f>IF(AN210=12,L210,0)</f>
        <v>0</v>
      </c>
      <c r="AL210" s="93">
        <f>IF(AN210=21,L210,0)</f>
        <v>0</v>
      </c>
      <c r="AN210" s="93">
        <v>21</v>
      </c>
      <c r="AO210" s="93">
        <f>H210*0.742466209</f>
        <v>0</v>
      </c>
      <c r="AP210" s="93">
        <f>H210*(1-0.742466209)</f>
        <v>0</v>
      </c>
      <c r="AQ210" s="94" t="s">
        <v>59</v>
      </c>
      <c r="AV210" s="93">
        <f>AW210+AX210</f>
        <v>0</v>
      </c>
      <c r="AW210" s="93">
        <f>G210*AO210</f>
        <v>0</v>
      </c>
      <c r="AX210" s="93">
        <f>G210*AP210</f>
        <v>0</v>
      </c>
      <c r="AY210" s="94" t="s">
        <v>281</v>
      </c>
      <c r="AZ210" s="94" t="s">
        <v>282</v>
      </c>
      <c r="BA210" s="88" t="s">
        <v>67</v>
      </c>
      <c r="BC210" s="93">
        <f>AW210+AX210</f>
        <v>0</v>
      </c>
      <c r="BD210" s="93">
        <f>H210/(100-BE210)*100</f>
        <v>0</v>
      </c>
      <c r="BE210" s="93">
        <v>0</v>
      </c>
      <c r="BF210" s="93">
        <f>O210</f>
        <v>17.7836547</v>
      </c>
      <c r="BH210" s="93">
        <f>G210*AO210</f>
        <v>0</v>
      </c>
      <c r="BI210" s="93">
        <f>G210*AP210</f>
        <v>0</v>
      </c>
      <c r="BJ210" s="93">
        <f>G210*H210</f>
        <v>0</v>
      </c>
      <c r="BK210" s="93"/>
      <c r="BL210" s="93">
        <v>31</v>
      </c>
      <c r="BW210" s="93" t="str">
        <f>I210</f>
        <v>21</v>
      </c>
      <c r="BX210" s="2" t="s">
        <v>280</v>
      </c>
    </row>
    <row r="211" spans="1:76" s="81" customFormat="1" x14ac:dyDescent="0.25">
      <c r="A211" s="110"/>
      <c r="B211" s="95"/>
      <c r="C211" s="95"/>
      <c r="D211" s="76" t="s">
        <v>283</v>
      </c>
      <c r="E211" s="76" t="s">
        <v>225</v>
      </c>
      <c r="F211" s="95"/>
      <c r="G211" s="96">
        <v>17.43</v>
      </c>
      <c r="H211" s="97"/>
      <c r="I211" s="95"/>
      <c r="J211" s="95"/>
      <c r="K211" s="95"/>
      <c r="L211" s="95"/>
      <c r="M211" s="95"/>
      <c r="N211" s="95"/>
      <c r="O211" s="95"/>
      <c r="P211" s="95"/>
    </row>
    <row r="212" spans="1:76" s="81" customFormat="1" x14ac:dyDescent="0.25">
      <c r="A212" s="66" t="s">
        <v>284</v>
      </c>
      <c r="B212" s="72" t="s">
        <v>55</v>
      </c>
      <c r="C212" s="72" t="s">
        <v>285</v>
      </c>
      <c r="D212" s="174" t="s">
        <v>286</v>
      </c>
      <c r="E212" s="174"/>
      <c r="F212" s="72" t="s">
        <v>203</v>
      </c>
      <c r="G212" s="90">
        <v>34</v>
      </c>
      <c r="H212" s="91"/>
      <c r="I212" s="92" t="s">
        <v>63</v>
      </c>
      <c r="J212" s="90">
        <f>G212*AO212</f>
        <v>0</v>
      </c>
      <c r="K212" s="90">
        <f>G212*AP212</f>
        <v>0</v>
      </c>
      <c r="L212" s="90">
        <f>G212*H212</f>
        <v>0</v>
      </c>
      <c r="M212" s="90">
        <f>L212*(1+BW212/100)</f>
        <v>0</v>
      </c>
      <c r="N212" s="90">
        <v>4.1999999999999997E-3</v>
      </c>
      <c r="O212" s="90">
        <f>G212*N212</f>
        <v>0.14279999999999998</v>
      </c>
      <c r="P212" s="92" t="s">
        <v>287</v>
      </c>
      <c r="Z212" s="93">
        <f>IF(AQ212="5",BJ212,0)</f>
        <v>0</v>
      </c>
      <c r="AB212" s="93">
        <f>IF(AQ212="1",BH212,0)</f>
        <v>0</v>
      </c>
      <c r="AC212" s="93">
        <f>IF(AQ212="1",BI212,0)</f>
        <v>0</v>
      </c>
      <c r="AD212" s="93">
        <f>IF(AQ212="7",BH212,0)</f>
        <v>0</v>
      </c>
      <c r="AE212" s="93">
        <f>IF(AQ212="7",BI212,0)</f>
        <v>0</v>
      </c>
      <c r="AF212" s="93">
        <f>IF(AQ212="2",BH212,0)</f>
        <v>0</v>
      </c>
      <c r="AG212" s="93">
        <f>IF(AQ212="2",BI212,0)</f>
        <v>0</v>
      </c>
      <c r="AH212" s="93">
        <f>IF(AQ212="0",BJ212,0)</f>
        <v>0</v>
      </c>
      <c r="AI212" s="88" t="s">
        <v>55</v>
      </c>
      <c r="AJ212" s="93">
        <f>IF(AN212=0,L212,0)</f>
        <v>0</v>
      </c>
      <c r="AK212" s="93">
        <f>IF(AN212=12,L212,0)</f>
        <v>0</v>
      </c>
      <c r="AL212" s="93">
        <f>IF(AN212=21,L212,0)</f>
        <v>0</v>
      </c>
      <c r="AN212" s="93">
        <v>21</v>
      </c>
      <c r="AO212" s="93">
        <f>H212*1</f>
        <v>0</v>
      </c>
      <c r="AP212" s="93">
        <f>H212*(1-1)</f>
        <v>0</v>
      </c>
      <c r="AQ212" s="94" t="s">
        <v>59</v>
      </c>
      <c r="AV212" s="93">
        <f>AW212+AX212</f>
        <v>0</v>
      </c>
      <c r="AW212" s="93">
        <f>G212*AO212</f>
        <v>0</v>
      </c>
      <c r="AX212" s="93">
        <f>G212*AP212</f>
        <v>0</v>
      </c>
      <c r="AY212" s="94" t="s">
        <v>281</v>
      </c>
      <c r="AZ212" s="94" t="s">
        <v>282</v>
      </c>
      <c r="BA212" s="88" t="s">
        <v>67</v>
      </c>
      <c r="BC212" s="93">
        <f>AW212+AX212</f>
        <v>0</v>
      </c>
      <c r="BD212" s="93">
        <f>H212/(100-BE212)*100</f>
        <v>0</v>
      </c>
      <c r="BE212" s="93">
        <v>0</v>
      </c>
      <c r="BF212" s="93">
        <f>O212</f>
        <v>0.14279999999999998</v>
      </c>
      <c r="BH212" s="93">
        <f>G212*AO212</f>
        <v>0</v>
      </c>
      <c r="BI212" s="93">
        <f>G212*AP212</f>
        <v>0</v>
      </c>
      <c r="BJ212" s="93">
        <f>G212*H212</f>
        <v>0</v>
      </c>
      <c r="BK212" s="93"/>
      <c r="BL212" s="93">
        <v>31</v>
      </c>
      <c r="BW212" s="93" t="str">
        <f>I212</f>
        <v>21</v>
      </c>
      <c r="BX212" s="2" t="s">
        <v>286</v>
      </c>
    </row>
    <row r="213" spans="1:76" s="81" customFormat="1" x14ac:dyDescent="0.25">
      <c r="A213" s="66" t="s">
        <v>288</v>
      </c>
      <c r="B213" s="72" t="s">
        <v>55</v>
      </c>
      <c r="C213" s="72" t="s">
        <v>289</v>
      </c>
      <c r="D213" s="174" t="s">
        <v>290</v>
      </c>
      <c r="E213" s="174"/>
      <c r="F213" s="72" t="s">
        <v>203</v>
      </c>
      <c r="G213" s="90">
        <v>8</v>
      </c>
      <c r="H213" s="91"/>
      <c r="I213" s="92" t="s">
        <v>63</v>
      </c>
      <c r="J213" s="90">
        <f>G213*AO213</f>
        <v>0</v>
      </c>
      <c r="K213" s="90">
        <f>G213*AP213</f>
        <v>0</v>
      </c>
      <c r="L213" s="90">
        <f>G213*H213</f>
        <v>0</v>
      </c>
      <c r="M213" s="90">
        <f>L213*(1+BW213/100)</f>
        <v>0</v>
      </c>
      <c r="N213" s="90">
        <v>4.1999999999999997E-3</v>
      </c>
      <c r="O213" s="90">
        <f>G213*N213</f>
        <v>3.3599999999999998E-2</v>
      </c>
      <c r="P213" s="92" t="s">
        <v>287</v>
      </c>
      <c r="Z213" s="93">
        <f>IF(AQ213="5",BJ213,0)</f>
        <v>0</v>
      </c>
      <c r="AB213" s="93">
        <f>IF(AQ213="1",BH213,0)</f>
        <v>0</v>
      </c>
      <c r="AC213" s="93">
        <f>IF(AQ213="1",BI213,0)</f>
        <v>0</v>
      </c>
      <c r="AD213" s="93">
        <f>IF(AQ213="7",BH213,0)</f>
        <v>0</v>
      </c>
      <c r="AE213" s="93">
        <f>IF(AQ213="7",BI213,0)</f>
        <v>0</v>
      </c>
      <c r="AF213" s="93">
        <f>IF(AQ213="2",BH213,0)</f>
        <v>0</v>
      </c>
      <c r="AG213" s="93">
        <f>IF(AQ213="2",BI213,0)</f>
        <v>0</v>
      </c>
      <c r="AH213" s="93">
        <f>IF(AQ213="0",BJ213,0)</f>
        <v>0</v>
      </c>
      <c r="AI213" s="88" t="s">
        <v>55</v>
      </c>
      <c r="AJ213" s="93">
        <f>IF(AN213=0,L213,0)</f>
        <v>0</v>
      </c>
      <c r="AK213" s="93">
        <f>IF(AN213=12,L213,0)</f>
        <v>0</v>
      </c>
      <c r="AL213" s="93">
        <f>IF(AN213=21,L213,0)</f>
        <v>0</v>
      </c>
      <c r="AN213" s="93">
        <v>21</v>
      </c>
      <c r="AO213" s="93">
        <f>H213*1</f>
        <v>0</v>
      </c>
      <c r="AP213" s="93">
        <f>H213*(1-1)</f>
        <v>0</v>
      </c>
      <c r="AQ213" s="94" t="s">
        <v>59</v>
      </c>
      <c r="AV213" s="93">
        <f>AW213+AX213</f>
        <v>0</v>
      </c>
      <c r="AW213" s="93">
        <f>G213*AO213</f>
        <v>0</v>
      </c>
      <c r="AX213" s="93">
        <f>G213*AP213</f>
        <v>0</v>
      </c>
      <c r="AY213" s="94" t="s">
        <v>281</v>
      </c>
      <c r="AZ213" s="94" t="s">
        <v>282</v>
      </c>
      <c r="BA213" s="88" t="s">
        <v>67</v>
      </c>
      <c r="BC213" s="93">
        <f>AW213+AX213</f>
        <v>0</v>
      </c>
      <c r="BD213" s="93">
        <f>H213/(100-BE213)*100</f>
        <v>0</v>
      </c>
      <c r="BE213" s="93">
        <v>0</v>
      </c>
      <c r="BF213" s="93">
        <f>O213</f>
        <v>3.3599999999999998E-2</v>
      </c>
      <c r="BH213" s="93">
        <f>G213*AO213</f>
        <v>0</v>
      </c>
      <c r="BI213" s="93">
        <f>G213*AP213</f>
        <v>0</v>
      </c>
      <c r="BJ213" s="93">
        <f>G213*H213</f>
        <v>0</v>
      </c>
      <c r="BK213" s="93"/>
      <c r="BL213" s="93">
        <v>31</v>
      </c>
      <c r="BW213" s="93" t="str">
        <f>I213</f>
        <v>21</v>
      </c>
      <c r="BX213" s="2" t="s">
        <v>290</v>
      </c>
    </row>
    <row r="214" spans="1:76" s="81" customFormat="1" x14ac:dyDescent="0.25">
      <c r="A214" s="66" t="s">
        <v>291</v>
      </c>
      <c r="B214" s="72" t="s">
        <v>55</v>
      </c>
      <c r="C214" s="72" t="s">
        <v>292</v>
      </c>
      <c r="D214" s="174" t="s">
        <v>293</v>
      </c>
      <c r="E214" s="174"/>
      <c r="F214" s="72" t="s">
        <v>192</v>
      </c>
      <c r="G214" s="90">
        <v>36.692999999999998</v>
      </c>
      <c r="H214" s="91"/>
      <c r="I214" s="92" t="s">
        <v>63</v>
      </c>
      <c r="J214" s="90">
        <f>G214*AO214</f>
        <v>0</v>
      </c>
      <c r="K214" s="90">
        <f>G214*AP214</f>
        <v>0</v>
      </c>
      <c r="L214" s="90">
        <f>G214*H214</f>
        <v>0</v>
      </c>
      <c r="M214" s="90">
        <f>L214*(1+BW214/100)</f>
        <v>0</v>
      </c>
      <c r="N214" s="90">
        <v>0.19400999999999999</v>
      </c>
      <c r="O214" s="90">
        <f>G214*N214</f>
        <v>7.1188089299999993</v>
      </c>
      <c r="P214" s="92" t="s">
        <v>64</v>
      </c>
      <c r="Z214" s="93">
        <f>IF(AQ214="5",BJ214,0)</f>
        <v>0</v>
      </c>
      <c r="AB214" s="93">
        <f>IF(AQ214="1",BH214,0)</f>
        <v>0</v>
      </c>
      <c r="AC214" s="93">
        <f>IF(AQ214="1",BI214,0)</f>
        <v>0</v>
      </c>
      <c r="AD214" s="93">
        <f>IF(AQ214="7",BH214,0)</f>
        <v>0</v>
      </c>
      <c r="AE214" s="93">
        <f>IF(AQ214="7",BI214,0)</f>
        <v>0</v>
      </c>
      <c r="AF214" s="93">
        <f>IF(AQ214="2",BH214,0)</f>
        <v>0</v>
      </c>
      <c r="AG214" s="93">
        <f>IF(AQ214="2",BI214,0)</f>
        <v>0</v>
      </c>
      <c r="AH214" s="93">
        <f>IF(AQ214="0",BJ214,0)</f>
        <v>0</v>
      </c>
      <c r="AI214" s="88" t="s">
        <v>55</v>
      </c>
      <c r="AJ214" s="93">
        <f>IF(AN214=0,L214,0)</f>
        <v>0</v>
      </c>
      <c r="AK214" s="93">
        <f>IF(AN214=12,L214,0)</f>
        <v>0</v>
      </c>
      <c r="AL214" s="93">
        <f>IF(AN214=21,L214,0)</f>
        <v>0</v>
      </c>
      <c r="AN214" s="93">
        <v>21</v>
      </c>
      <c r="AO214" s="93">
        <f>H214*0.848516279</f>
        <v>0</v>
      </c>
      <c r="AP214" s="93">
        <f>H214*(1-0.848516279)</f>
        <v>0</v>
      </c>
      <c r="AQ214" s="94" t="s">
        <v>59</v>
      </c>
      <c r="AV214" s="93">
        <f>AW214+AX214</f>
        <v>0</v>
      </c>
      <c r="AW214" s="93">
        <f>G214*AO214</f>
        <v>0</v>
      </c>
      <c r="AX214" s="93">
        <f>G214*AP214</f>
        <v>0</v>
      </c>
      <c r="AY214" s="94" t="s">
        <v>281</v>
      </c>
      <c r="AZ214" s="94" t="s">
        <v>282</v>
      </c>
      <c r="BA214" s="88" t="s">
        <v>67</v>
      </c>
      <c r="BC214" s="93">
        <f>AW214+AX214</f>
        <v>0</v>
      </c>
      <c r="BD214" s="93">
        <f>H214/(100-BE214)*100</f>
        <v>0</v>
      </c>
      <c r="BE214" s="93">
        <v>0</v>
      </c>
      <c r="BF214" s="93">
        <f>O214</f>
        <v>7.1188089299999993</v>
      </c>
      <c r="BH214" s="93">
        <f>G214*AO214</f>
        <v>0</v>
      </c>
      <c r="BI214" s="93">
        <f>G214*AP214</f>
        <v>0</v>
      </c>
      <c r="BJ214" s="93">
        <f>G214*H214</f>
        <v>0</v>
      </c>
      <c r="BK214" s="93"/>
      <c r="BL214" s="93">
        <v>31</v>
      </c>
      <c r="BW214" s="93" t="str">
        <f>I214</f>
        <v>21</v>
      </c>
      <c r="BX214" s="2" t="s">
        <v>293</v>
      </c>
    </row>
    <row r="215" spans="1:76" s="81" customFormat="1" x14ac:dyDescent="0.25">
      <c r="A215" s="110"/>
      <c r="B215" s="95"/>
      <c r="C215" s="95"/>
      <c r="D215" s="76" t="s">
        <v>54</v>
      </c>
      <c r="E215" s="76" t="s">
        <v>294</v>
      </c>
      <c r="F215" s="95"/>
      <c r="G215" s="96">
        <v>0</v>
      </c>
      <c r="H215" s="97"/>
      <c r="I215" s="95"/>
      <c r="J215" s="95"/>
      <c r="K215" s="95"/>
      <c r="L215" s="95"/>
      <c r="M215" s="95"/>
      <c r="N215" s="95"/>
      <c r="O215" s="95"/>
      <c r="P215" s="95"/>
    </row>
    <row r="216" spans="1:76" s="81" customFormat="1" x14ac:dyDescent="0.25">
      <c r="A216" s="110"/>
      <c r="B216" s="95"/>
      <c r="C216" s="95"/>
      <c r="D216" s="76" t="s">
        <v>295</v>
      </c>
      <c r="E216" s="76" t="s">
        <v>54</v>
      </c>
      <c r="F216" s="95"/>
      <c r="G216" s="96">
        <v>36.692999999999998</v>
      </c>
      <c r="H216" s="97"/>
      <c r="I216" s="95"/>
      <c r="J216" s="95"/>
      <c r="K216" s="95"/>
      <c r="L216" s="95"/>
      <c r="M216" s="95"/>
      <c r="N216" s="95"/>
      <c r="O216" s="95"/>
      <c r="P216" s="95"/>
    </row>
    <row r="217" spans="1:76" s="81" customFormat="1" x14ac:dyDescent="0.25">
      <c r="A217" s="66" t="s">
        <v>277</v>
      </c>
      <c r="B217" s="72" t="s">
        <v>55</v>
      </c>
      <c r="C217" s="72" t="s">
        <v>296</v>
      </c>
      <c r="D217" s="174" t="s">
        <v>297</v>
      </c>
      <c r="E217" s="174"/>
      <c r="F217" s="72" t="s">
        <v>192</v>
      </c>
      <c r="G217" s="90">
        <v>5.9670100000000001</v>
      </c>
      <c r="H217" s="91"/>
      <c r="I217" s="92" t="s">
        <v>63</v>
      </c>
      <c r="J217" s="90">
        <f>G217*AO217</f>
        <v>0</v>
      </c>
      <c r="K217" s="90">
        <f>G217*AP217</f>
        <v>0</v>
      </c>
      <c r="L217" s="90">
        <f>G217*H217</f>
        <v>0</v>
      </c>
      <c r="M217" s="90">
        <f>L217*(1+BW217/100)</f>
        <v>0</v>
      </c>
      <c r="N217" s="90">
        <v>0.17230000000000001</v>
      </c>
      <c r="O217" s="90">
        <f>G217*N217</f>
        <v>1.028115823</v>
      </c>
      <c r="P217" s="92" t="s">
        <v>64</v>
      </c>
      <c r="Z217" s="93">
        <f>IF(AQ217="5",BJ217,0)</f>
        <v>0</v>
      </c>
      <c r="AB217" s="93">
        <f>IF(AQ217="1",BH217,0)</f>
        <v>0</v>
      </c>
      <c r="AC217" s="93">
        <f>IF(AQ217="1",BI217,0)</f>
        <v>0</v>
      </c>
      <c r="AD217" s="93">
        <f>IF(AQ217="7",BH217,0)</f>
        <v>0</v>
      </c>
      <c r="AE217" s="93">
        <f>IF(AQ217="7",BI217,0)</f>
        <v>0</v>
      </c>
      <c r="AF217" s="93">
        <f>IF(AQ217="2",BH217,0)</f>
        <v>0</v>
      </c>
      <c r="AG217" s="93">
        <f>IF(AQ217="2",BI217,0)</f>
        <v>0</v>
      </c>
      <c r="AH217" s="93">
        <f>IF(AQ217="0",BJ217,0)</f>
        <v>0</v>
      </c>
      <c r="AI217" s="88" t="s">
        <v>55</v>
      </c>
      <c r="AJ217" s="93">
        <f>IF(AN217=0,L217,0)</f>
        <v>0</v>
      </c>
      <c r="AK217" s="93">
        <f>IF(AN217=12,L217,0)</f>
        <v>0</v>
      </c>
      <c r="AL217" s="93">
        <f>IF(AN217=21,L217,0)</f>
        <v>0</v>
      </c>
      <c r="AN217" s="93">
        <v>21</v>
      </c>
      <c r="AO217" s="93">
        <f>H217*0.824652515</f>
        <v>0</v>
      </c>
      <c r="AP217" s="93">
        <f>H217*(1-0.824652515)</f>
        <v>0</v>
      </c>
      <c r="AQ217" s="94" t="s">
        <v>59</v>
      </c>
      <c r="AV217" s="93">
        <f>AW217+AX217</f>
        <v>0</v>
      </c>
      <c r="AW217" s="93">
        <f>G217*AO217</f>
        <v>0</v>
      </c>
      <c r="AX217" s="93">
        <f>G217*AP217</f>
        <v>0</v>
      </c>
      <c r="AY217" s="94" t="s">
        <v>281</v>
      </c>
      <c r="AZ217" s="94" t="s">
        <v>282</v>
      </c>
      <c r="BA217" s="88" t="s">
        <v>67</v>
      </c>
      <c r="BC217" s="93">
        <f>AW217+AX217</f>
        <v>0</v>
      </c>
      <c r="BD217" s="93">
        <f>H217/(100-BE217)*100</f>
        <v>0</v>
      </c>
      <c r="BE217" s="93">
        <v>0</v>
      </c>
      <c r="BF217" s="93">
        <f>O217</f>
        <v>1.028115823</v>
      </c>
      <c r="BH217" s="93">
        <f>G217*AO217</f>
        <v>0</v>
      </c>
      <c r="BI217" s="93">
        <f>G217*AP217</f>
        <v>0</v>
      </c>
      <c r="BJ217" s="93">
        <f>G217*H217</f>
        <v>0</v>
      </c>
      <c r="BK217" s="93"/>
      <c r="BL217" s="93">
        <v>31</v>
      </c>
      <c r="BW217" s="93" t="str">
        <f>I217</f>
        <v>21</v>
      </c>
      <c r="BX217" s="2" t="s">
        <v>297</v>
      </c>
    </row>
    <row r="218" spans="1:76" s="81" customFormat="1" ht="13.5" customHeight="1" x14ac:dyDescent="0.25">
      <c r="A218" s="110"/>
      <c r="B218" s="95"/>
      <c r="C218" s="95"/>
      <c r="D218" s="179" t="s">
        <v>298</v>
      </c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</row>
    <row r="219" spans="1:76" s="81" customFormat="1" x14ac:dyDescent="0.25">
      <c r="A219" s="110"/>
      <c r="B219" s="95"/>
      <c r="C219" s="95"/>
      <c r="D219" s="76" t="s">
        <v>54</v>
      </c>
      <c r="E219" s="76" t="s">
        <v>299</v>
      </c>
      <c r="F219" s="95"/>
      <c r="G219" s="96">
        <v>0</v>
      </c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1:76" s="81" customFormat="1" x14ac:dyDescent="0.25">
      <c r="A220" s="110"/>
      <c r="B220" s="95"/>
      <c r="C220" s="95"/>
      <c r="D220" s="76" t="s">
        <v>54</v>
      </c>
      <c r="E220" s="76" t="s">
        <v>300</v>
      </c>
      <c r="F220" s="95"/>
      <c r="G220" s="96">
        <v>0</v>
      </c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1:76" s="81" customFormat="1" x14ac:dyDescent="0.25">
      <c r="A221" s="110"/>
      <c r="B221" s="95"/>
      <c r="C221" s="95"/>
      <c r="D221" s="76" t="s">
        <v>301</v>
      </c>
      <c r="E221" s="76" t="s">
        <v>54</v>
      </c>
      <c r="F221" s="95"/>
      <c r="G221" s="96">
        <v>2.6835100000000001</v>
      </c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1:76" s="81" customFormat="1" x14ac:dyDescent="0.25">
      <c r="A222" s="110"/>
      <c r="B222" s="95"/>
      <c r="C222" s="95"/>
      <c r="D222" s="76" t="s">
        <v>302</v>
      </c>
      <c r="E222" s="76" t="s">
        <v>54</v>
      </c>
      <c r="F222" s="95"/>
      <c r="G222" s="96">
        <v>3.2835000000000001</v>
      </c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1:76" s="81" customFormat="1" x14ac:dyDescent="0.25">
      <c r="A223" s="66" t="s">
        <v>303</v>
      </c>
      <c r="B223" s="72" t="s">
        <v>55</v>
      </c>
      <c r="C223" s="72" t="s">
        <v>304</v>
      </c>
      <c r="D223" s="174" t="s">
        <v>305</v>
      </c>
      <c r="E223" s="174"/>
      <c r="F223" s="72" t="s">
        <v>192</v>
      </c>
      <c r="G223" s="90">
        <v>50.456249999999997</v>
      </c>
      <c r="H223" s="91"/>
      <c r="I223" s="92" t="s">
        <v>63</v>
      </c>
      <c r="J223" s="90">
        <f>G223*AO223</f>
        <v>0</v>
      </c>
      <c r="K223" s="90">
        <f>G223*AP223</f>
        <v>0</v>
      </c>
      <c r="L223" s="90">
        <f>G223*H223</f>
        <v>0</v>
      </c>
      <c r="M223" s="90">
        <f>L223*(1+BW223/100)</f>
        <v>0</v>
      </c>
      <c r="N223" s="90">
        <v>0.27964</v>
      </c>
      <c r="O223" s="90">
        <f>G223*N223</f>
        <v>14.109585749999999</v>
      </c>
      <c r="P223" s="92" t="s">
        <v>64</v>
      </c>
      <c r="Z223" s="93">
        <f>IF(AQ223="5",BJ223,0)</f>
        <v>0</v>
      </c>
      <c r="AB223" s="93">
        <f>IF(AQ223="1",BH223,0)</f>
        <v>0</v>
      </c>
      <c r="AC223" s="93">
        <f>IF(AQ223="1",BI223,0)</f>
        <v>0</v>
      </c>
      <c r="AD223" s="93">
        <f>IF(AQ223="7",BH223,0)</f>
        <v>0</v>
      </c>
      <c r="AE223" s="93">
        <f>IF(AQ223="7",BI223,0)</f>
        <v>0</v>
      </c>
      <c r="AF223" s="93">
        <f>IF(AQ223="2",BH223,0)</f>
        <v>0</v>
      </c>
      <c r="AG223" s="93">
        <f>IF(AQ223="2",BI223,0)</f>
        <v>0</v>
      </c>
      <c r="AH223" s="93">
        <f>IF(AQ223="0",BJ223,0)</f>
        <v>0</v>
      </c>
      <c r="AI223" s="88" t="s">
        <v>55</v>
      </c>
      <c r="AJ223" s="93">
        <f>IF(AN223=0,L223,0)</f>
        <v>0</v>
      </c>
      <c r="AK223" s="93">
        <f>IF(AN223=12,L223,0)</f>
        <v>0</v>
      </c>
      <c r="AL223" s="93">
        <f>IF(AN223=21,L223,0)</f>
        <v>0</v>
      </c>
      <c r="AN223" s="93">
        <v>21</v>
      </c>
      <c r="AO223" s="93">
        <f>H223*0.865890269</f>
        <v>0</v>
      </c>
      <c r="AP223" s="93">
        <f>H223*(1-0.865890269)</f>
        <v>0</v>
      </c>
      <c r="AQ223" s="94" t="s">
        <v>59</v>
      </c>
      <c r="AV223" s="93">
        <f>AW223+AX223</f>
        <v>0</v>
      </c>
      <c r="AW223" s="93">
        <f>G223*AO223</f>
        <v>0</v>
      </c>
      <c r="AX223" s="93">
        <f>G223*AP223</f>
        <v>0</v>
      </c>
      <c r="AY223" s="94" t="s">
        <v>281</v>
      </c>
      <c r="AZ223" s="94" t="s">
        <v>282</v>
      </c>
      <c r="BA223" s="88" t="s">
        <v>67</v>
      </c>
      <c r="BC223" s="93">
        <f>AW223+AX223</f>
        <v>0</v>
      </c>
      <c r="BD223" s="93">
        <f>H223/(100-BE223)*100</f>
        <v>0</v>
      </c>
      <c r="BE223" s="93">
        <v>0</v>
      </c>
      <c r="BF223" s="93">
        <f>O223</f>
        <v>14.109585749999999</v>
      </c>
      <c r="BH223" s="93">
        <f>G223*AO223</f>
        <v>0</v>
      </c>
      <c r="BI223" s="93">
        <f>G223*AP223</f>
        <v>0</v>
      </c>
      <c r="BJ223" s="93">
        <f>G223*H223</f>
        <v>0</v>
      </c>
      <c r="BK223" s="93"/>
      <c r="BL223" s="93">
        <v>31</v>
      </c>
      <c r="BW223" s="93" t="str">
        <f>I223</f>
        <v>21</v>
      </c>
      <c r="BX223" s="2" t="s">
        <v>305</v>
      </c>
    </row>
    <row r="224" spans="1:76" s="81" customFormat="1" ht="13.5" customHeight="1" x14ac:dyDescent="0.25">
      <c r="A224" s="110"/>
      <c r="B224" s="95"/>
      <c r="C224" s="95"/>
      <c r="D224" s="179" t="s">
        <v>306</v>
      </c>
      <c r="E224" s="179"/>
      <c r="F224" s="179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</row>
    <row r="225" spans="1:76" s="81" customFormat="1" x14ac:dyDescent="0.25">
      <c r="A225" s="110"/>
      <c r="B225" s="95"/>
      <c r="C225" s="95"/>
      <c r="D225" s="76" t="s">
        <v>54</v>
      </c>
      <c r="E225" s="76" t="s">
        <v>299</v>
      </c>
      <c r="F225" s="95"/>
      <c r="G225" s="96">
        <v>0</v>
      </c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1:76" s="81" customFormat="1" x14ac:dyDescent="0.25">
      <c r="A226" s="110"/>
      <c r="B226" s="95"/>
      <c r="C226" s="95"/>
      <c r="D226" s="76" t="s">
        <v>307</v>
      </c>
      <c r="E226" s="76" t="s">
        <v>54</v>
      </c>
      <c r="F226" s="95"/>
      <c r="G226" s="96">
        <v>49.725000000000001</v>
      </c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1:76" s="81" customFormat="1" x14ac:dyDescent="0.25">
      <c r="A227" s="110"/>
      <c r="B227" s="95"/>
      <c r="C227" s="95"/>
      <c r="D227" s="76" t="s">
        <v>54</v>
      </c>
      <c r="E227" s="76" t="s">
        <v>308</v>
      </c>
      <c r="F227" s="95"/>
      <c r="G227" s="96">
        <v>0</v>
      </c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1:76" s="81" customFormat="1" x14ac:dyDescent="0.25">
      <c r="A228" s="110"/>
      <c r="B228" s="95"/>
      <c r="C228" s="95"/>
      <c r="D228" s="76" t="s">
        <v>309</v>
      </c>
      <c r="E228" s="76" t="s">
        <v>54</v>
      </c>
      <c r="F228" s="95"/>
      <c r="G228" s="96">
        <v>0.73124999999999996</v>
      </c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1:76" s="81" customFormat="1" x14ac:dyDescent="0.25">
      <c r="A229" s="66" t="s">
        <v>310</v>
      </c>
      <c r="B229" s="72" t="s">
        <v>55</v>
      </c>
      <c r="C229" s="72" t="s">
        <v>311</v>
      </c>
      <c r="D229" s="174" t="s">
        <v>312</v>
      </c>
      <c r="E229" s="174"/>
      <c r="F229" s="72" t="s">
        <v>192</v>
      </c>
      <c r="G229" s="90">
        <v>171.69946999999999</v>
      </c>
      <c r="H229" s="91"/>
      <c r="I229" s="92" t="s">
        <v>63</v>
      </c>
      <c r="J229" s="90">
        <f>G229*AO229</f>
        <v>0</v>
      </c>
      <c r="K229" s="90">
        <f>G229*AP229</f>
        <v>0</v>
      </c>
      <c r="L229" s="90">
        <f>G229*H229</f>
        <v>0</v>
      </c>
      <c r="M229" s="90">
        <f>L229*(1+BW229/100)</f>
        <v>0</v>
      </c>
      <c r="N229" s="90">
        <v>0.34808</v>
      </c>
      <c r="O229" s="90">
        <f>G229*N229</f>
        <v>59.765151517599996</v>
      </c>
      <c r="P229" s="92" t="s">
        <v>64</v>
      </c>
      <c r="Z229" s="93">
        <f>IF(AQ229="5",BJ229,0)</f>
        <v>0</v>
      </c>
      <c r="AB229" s="93">
        <f>IF(AQ229="1",BH229,0)</f>
        <v>0</v>
      </c>
      <c r="AC229" s="93">
        <f>IF(AQ229="1",BI229,0)</f>
        <v>0</v>
      </c>
      <c r="AD229" s="93">
        <f>IF(AQ229="7",BH229,0)</f>
        <v>0</v>
      </c>
      <c r="AE229" s="93">
        <f>IF(AQ229="7",BI229,0)</f>
        <v>0</v>
      </c>
      <c r="AF229" s="93">
        <f>IF(AQ229="2",BH229,0)</f>
        <v>0</v>
      </c>
      <c r="AG229" s="93">
        <f>IF(AQ229="2",BI229,0)</f>
        <v>0</v>
      </c>
      <c r="AH229" s="93">
        <f>IF(AQ229="0",BJ229,0)</f>
        <v>0</v>
      </c>
      <c r="AI229" s="88" t="s">
        <v>55</v>
      </c>
      <c r="AJ229" s="93">
        <f>IF(AN229=0,L229,0)</f>
        <v>0</v>
      </c>
      <c r="AK229" s="93">
        <f>IF(AN229=12,L229,0)</f>
        <v>0</v>
      </c>
      <c r="AL229" s="93">
        <f>IF(AN229=21,L229,0)</f>
        <v>0</v>
      </c>
      <c r="AN229" s="93">
        <v>21</v>
      </c>
      <c r="AO229" s="93">
        <f>H229*0.86774807</f>
        <v>0</v>
      </c>
      <c r="AP229" s="93">
        <f>H229*(1-0.86774807)</f>
        <v>0</v>
      </c>
      <c r="AQ229" s="94" t="s">
        <v>59</v>
      </c>
      <c r="AV229" s="93">
        <f>AW229+AX229</f>
        <v>0</v>
      </c>
      <c r="AW229" s="93">
        <f>G229*AO229</f>
        <v>0</v>
      </c>
      <c r="AX229" s="93">
        <f>G229*AP229</f>
        <v>0</v>
      </c>
      <c r="AY229" s="94" t="s">
        <v>281</v>
      </c>
      <c r="AZ229" s="94" t="s">
        <v>282</v>
      </c>
      <c r="BA229" s="88" t="s">
        <v>67</v>
      </c>
      <c r="BC229" s="93">
        <f>AW229+AX229</f>
        <v>0</v>
      </c>
      <c r="BD229" s="93">
        <f>H229/(100-BE229)*100</f>
        <v>0</v>
      </c>
      <c r="BE229" s="93">
        <v>0</v>
      </c>
      <c r="BF229" s="93">
        <f>O229</f>
        <v>59.765151517599996</v>
      </c>
      <c r="BH229" s="93">
        <f>G229*AO229</f>
        <v>0</v>
      </c>
      <c r="BI229" s="93">
        <f>G229*AP229</f>
        <v>0</v>
      </c>
      <c r="BJ229" s="93">
        <f>G229*H229</f>
        <v>0</v>
      </c>
      <c r="BK229" s="93"/>
      <c r="BL229" s="93">
        <v>31</v>
      </c>
      <c r="BW229" s="93" t="str">
        <f>I229</f>
        <v>21</v>
      </c>
      <c r="BX229" s="2" t="s">
        <v>312</v>
      </c>
    </row>
    <row r="230" spans="1:76" s="81" customFormat="1" ht="13.5" customHeight="1" x14ac:dyDescent="0.25">
      <c r="A230" s="110"/>
      <c r="B230" s="95"/>
      <c r="C230" s="95"/>
      <c r="D230" s="179" t="s">
        <v>313</v>
      </c>
      <c r="E230" s="179"/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79"/>
    </row>
    <row r="231" spans="1:76" s="81" customFormat="1" x14ac:dyDescent="0.25">
      <c r="A231" s="110"/>
      <c r="B231" s="95"/>
      <c r="C231" s="95"/>
      <c r="D231" s="76" t="s">
        <v>54</v>
      </c>
      <c r="E231" s="76" t="s">
        <v>314</v>
      </c>
      <c r="F231" s="95"/>
      <c r="G231" s="96">
        <v>0</v>
      </c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1:76" s="81" customFormat="1" x14ac:dyDescent="0.25">
      <c r="A232" s="110"/>
      <c r="B232" s="95"/>
      <c r="C232" s="95"/>
      <c r="D232" s="76" t="s">
        <v>315</v>
      </c>
      <c r="E232" s="76" t="s">
        <v>54</v>
      </c>
      <c r="F232" s="95"/>
      <c r="G232" s="96">
        <v>141.00022999999999</v>
      </c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1:76" s="81" customFormat="1" x14ac:dyDescent="0.25">
      <c r="A233" s="110"/>
      <c r="B233" s="95"/>
      <c r="C233" s="95"/>
      <c r="D233" s="76" t="s">
        <v>316</v>
      </c>
      <c r="E233" s="76" t="s">
        <v>54</v>
      </c>
      <c r="F233" s="95"/>
      <c r="G233" s="96">
        <v>15.34962</v>
      </c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1:76" s="81" customFormat="1" x14ac:dyDescent="0.25">
      <c r="A234" s="110"/>
      <c r="B234" s="95"/>
      <c r="C234" s="95"/>
      <c r="D234" s="76" t="s">
        <v>54</v>
      </c>
      <c r="E234" s="76" t="s">
        <v>308</v>
      </c>
      <c r="F234" s="95"/>
      <c r="G234" s="96">
        <v>0</v>
      </c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1:76" s="81" customFormat="1" x14ac:dyDescent="0.25">
      <c r="A235" s="110"/>
      <c r="B235" s="95"/>
      <c r="C235" s="95"/>
      <c r="D235" s="76" t="s">
        <v>316</v>
      </c>
      <c r="E235" s="76" t="s">
        <v>54</v>
      </c>
      <c r="F235" s="95"/>
      <c r="G235" s="96">
        <v>15.34962</v>
      </c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1:76" s="81" customFormat="1" x14ac:dyDescent="0.25">
      <c r="A236" s="66" t="s">
        <v>317</v>
      </c>
      <c r="B236" s="72" t="s">
        <v>55</v>
      </c>
      <c r="C236" s="72" t="s">
        <v>318</v>
      </c>
      <c r="D236" s="174" t="s">
        <v>319</v>
      </c>
      <c r="E236" s="174"/>
      <c r="F236" s="72" t="s">
        <v>62</v>
      </c>
      <c r="G236" s="90">
        <v>61.784820000000003</v>
      </c>
      <c r="H236" s="91"/>
      <c r="I236" s="92" t="s">
        <v>63</v>
      </c>
      <c r="J236" s="90">
        <f>G236*AO236</f>
        <v>0</v>
      </c>
      <c r="K236" s="90">
        <f>G236*AP236</f>
        <v>0</v>
      </c>
      <c r="L236" s="90">
        <f>G236*H236</f>
        <v>0</v>
      </c>
      <c r="M236" s="90">
        <f>L236*(1+BW236/100)</f>
        <v>0</v>
      </c>
      <c r="N236" s="90">
        <v>2.03661</v>
      </c>
      <c r="O236" s="90">
        <f>G236*N236</f>
        <v>125.83158226020001</v>
      </c>
      <c r="P236" s="92" t="s">
        <v>64</v>
      </c>
      <c r="Z236" s="93">
        <f>IF(AQ236="5",BJ236,0)</f>
        <v>0</v>
      </c>
      <c r="AB236" s="93">
        <f>IF(AQ236="1",BH236,0)</f>
        <v>0</v>
      </c>
      <c r="AC236" s="93">
        <f>IF(AQ236="1",BI236,0)</f>
        <v>0</v>
      </c>
      <c r="AD236" s="93">
        <f>IF(AQ236="7",BH236,0)</f>
        <v>0</v>
      </c>
      <c r="AE236" s="93">
        <f>IF(AQ236="7",BI236,0)</f>
        <v>0</v>
      </c>
      <c r="AF236" s="93">
        <f>IF(AQ236="2",BH236,0)</f>
        <v>0</v>
      </c>
      <c r="AG236" s="93">
        <f>IF(AQ236="2",BI236,0)</f>
        <v>0</v>
      </c>
      <c r="AH236" s="93">
        <f>IF(AQ236="0",BJ236,0)</f>
        <v>0</v>
      </c>
      <c r="AI236" s="88" t="s">
        <v>55</v>
      </c>
      <c r="AJ236" s="93">
        <f>IF(AN236=0,L236,0)</f>
        <v>0</v>
      </c>
      <c r="AK236" s="93">
        <f>IF(AN236=12,L236,0)</f>
        <v>0</v>
      </c>
      <c r="AL236" s="93">
        <f>IF(AN236=21,L236,0)</f>
        <v>0</v>
      </c>
      <c r="AN236" s="93">
        <v>21</v>
      </c>
      <c r="AO236" s="93">
        <f>H236*0.741620314</f>
        <v>0</v>
      </c>
      <c r="AP236" s="93">
        <f>H236*(1-0.741620314)</f>
        <v>0</v>
      </c>
      <c r="AQ236" s="94" t="s">
        <v>59</v>
      </c>
      <c r="AV236" s="93">
        <f>AW236+AX236</f>
        <v>0</v>
      </c>
      <c r="AW236" s="93">
        <f>G236*AO236</f>
        <v>0</v>
      </c>
      <c r="AX236" s="93">
        <f>G236*AP236</f>
        <v>0</v>
      </c>
      <c r="AY236" s="94" t="s">
        <v>281</v>
      </c>
      <c r="AZ236" s="94" t="s">
        <v>282</v>
      </c>
      <c r="BA236" s="88" t="s">
        <v>67</v>
      </c>
      <c r="BC236" s="93">
        <f>AW236+AX236</f>
        <v>0</v>
      </c>
      <c r="BD236" s="93">
        <f>H236/(100-BE236)*100</f>
        <v>0</v>
      </c>
      <c r="BE236" s="93">
        <v>0</v>
      </c>
      <c r="BF236" s="93">
        <f>O236</f>
        <v>125.83158226020001</v>
      </c>
      <c r="BH236" s="93">
        <f>G236*AO236</f>
        <v>0</v>
      </c>
      <c r="BI236" s="93">
        <f>G236*AP236</f>
        <v>0</v>
      </c>
      <c r="BJ236" s="93">
        <f>G236*H236</f>
        <v>0</v>
      </c>
      <c r="BK236" s="93"/>
      <c r="BL236" s="93">
        <v>31</v>
      </c>
      <c r="BW236" s="93" t="str">
        <f>I236</f>
        <v>21</v>
      </c>
      <c r="BX236" s="2" t="s">
        <v>319</v>
      </c>
    </row>
    <row r="237" spans="1:76" s="81" customFormat="1" x14ac:dyDescent="0.25">
      <c r="A237" s="110"/>
      <c r="B237" s="95"/>
      <c r="C237" s="95"/>
      <c r="D237" s="76" t="s">
        <v>54</v>
      </c>
      <c r="E237" s="76" t="s">
        <v>320</v>
      </c>
      <c r="F237" s="95"/>
      <c r="G237" s="96">
        <v>0</v>
      </c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1:76" s="81" customFormat="1" x14ac:dyDescent="0.25">
      <c r="A238" s="110"/>
      <c r="B238" s="95"/>
      <c r="C238" s="95"/>
      <c r="D238" s="76" t="s">
        <v>54</v>
      </c>
      <c r="E238" s="76" t="s">
        <v>321</v>
      </c>
      <c r="F238" s="95"/>
      <c r="G238" s="96">
        <v>0</v>
      </c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1:76" s="81" customFormat="1" x14ac:dyDescent="0.25">
      <c r="A239" s="110"/>
      <c r="B239" s="95"/>
      <c r="C239" s="95"/>
      <c r="D239" s="76" t="s">
        <v>54</v>
      </c>
      <c r="E239" s="76" t="s">
        <v>308</v>
      </c>
      <c r="F239" s="95"/>
      <c r="G239" s="96">
        <v>0</v>
      </c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1:76" s="81" customFormat="1" x14ac:dyDescent="0.25">
      <c r="A240" s="110"/>
      <c r="B240" s="95"/>
      <c r="C240" s="95"/>
      <c r="D240" s="76" t="s">
        <v>322</v>
      </c>
      <c r="E240" s="76" t="s">
        <v>54</v>
      </c>
      <c r="F240" s="95"/>
      <c r="G240" s="96">
        <v>0.69318999999999997</v>
      </c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1:76" s="81" customFormat="1" x14ac:dyDescent="0.25">
      <c r="A241" s="110"/>
      <c r="B241" s="95"/>
      <c r="C241" s="95"/>
      <c r="D241" s="76" t="s">
        <v>323</v>
      </c>
      <c r="E241" s="76" t="s">
        <v>54</v>
      </c>
      <c r="F241" s="95"/>
      <c r="G241" s="96">
        <v>0.91788999999999998</v>
      </c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1:76" s="81" customFormat="1" x14ac:dyDescent="0.25">
      <c r="A242" s="110"/>
      <c r="B242" s="95"/>
      <c r="C242" s="95"/>
      <c r="D242" s="76" t="s">
        <v>324</v>
      </c>
      <c r="E242" s="76" t="s">
        <v>54</v>
      </c>
      <c r="F242" s="95"/>
      <c r="G242" s="96">
        <v>16.524000000000001</v>
      </c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1:76" s="81" customFormat="1" x14ac:dyDescent="0.25">
      <c r="A243" s="110"/>
      <c r="B243" s="95"/>
      <c r="C243" s="95"/>
      <c r="D243" s="76" t="s">
        <v>325</v>
      </c>
      <c r="E243" s="76" t="s">
        <v>54</v>
      </c>
      <c r="F243" s="95"/>
      <c r="G243" s="96">
        <v>10.481619999999999</v>
      </c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1:76" s="81" customFormat="1" x14ac:dyDescent="0.25">
      <c r="A244" s="110"/>
      <c r="B244" s="95"/>
      <c r="C244" s="95"/>
      <c r="D244" s="76" t="s">
        <v>326</v>
      </c>
      <c r="E244" s="76" t="s">
        <v>54</v>
      </c>
      <c r="F244" s="95"/>
      <c r="G244" s="96">
        <v>27.339300000000001</v>
      </c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1:76" s="81" customFormat="1" x14ac:dyDescent="0.25">
      <c r="A245" s="110"/>
      <c r="B245" s="95"/>
      <c r="C245" s="95"/>
      <c r="D245" s="76" t="s">
        <v>54</v>
      </c>
      <c r="E245" s="76" t="s">
        <v>327</v>
      </c>
      <c r="F245" s="95"/>
      <c r="G245" s="96">
        <v>0</v>
      </c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1:76" s="81" customFormat="1" x14ac:dyDescent="0.25">
      <c r="A246" s="110"/>
      <c r="B246" s="95"/>
      <c r="C246" s="95"/>
      <c r="D246" s="76" t="s">
        <v>328</v>
      </c>
      <c r="E246" s="76" t="s">
        <v>54</v>
      </c>
      <c r="F246" s="95"/>
      <c r="G246" s="96">
        <v>5.8288200000000003</v>
      </c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1:76" s="81" customFormat="1" x14ac:dyDescent="0.25">
      <c r="A247" s="66" t="s">
        <v>329</v>
      </c>
      <c r="B247" s="72" t="s">
        <v>55</v>
      </c>
      <c r="C247" s="72" t="s">
        <v>330</v>
      </c>
      <c r="D247" s="174" t="s">
        <v>331</v>
      </c>
      <c r="E247" s="174"/>
      <c r="F247" s="72" t="s">
        <v>192</v>
      </c>
      <c r="G247" s="90">
        <v>77.601370000000003</v>
      </c>
      <c r="H247" s="91"/>
      <c r="I247" s="92" t="s">
        <v>63</v>
      </c>
      <c r="J247" s="90">
        <f>G247*AO247</f>
        <v>0</v>
      </c>
      <c r="K247" s="90">
        <f>G247*AP247</f>
        <v>0</v>
      </c>
      <c r="L247" s="90">
        <f>G247*H247</f>
        <v>0</v>
      </c>
      <c r="M247" s="90">
        <f>L247*(1+BW247/100)</f>
        <v>0</v>
      </c>
      <c r="N247" s="90">
        <v>0.11928</v>
      </c>
      <c r="O247" s="90">
        <f>G247*N247</f>
        <v>9.2562914135999996</v>
      </c>
      <c r="P247" s="92" t="s">
        <v>64</v>
      </c>
      <c r="Z247" s="93">
        <f>IF(AQ247="5",BJ247,0)</f>
        <v>0</v>
      </c>
      <c r="AB247" s="93">
        <f>IF(AQ247="1",BH247,0)</f>
        <v>0</v>
      </c>
      <c r="AC247" s="93">
        <f>IF(AQ247="1",BI247,0)</f>
        <v>0</v>
      </c>
      <c r="AD247" s="93">
        <f>IF(AQ247="7",BH247,0)</f>
        <v>0</v>
      </c>
      <c r="AE247" s="93">
        <f>IF(AQ247="7",BI247,0)</f>
        <v>0</v>
      </c>
      <c r="AF247" s="93">
        <f>IF(AQ247="2",BH247,0)</f>
        <v>0</v>
      </c>
      <c r="AG247" s="93">
        <f>IF(AQ247="2",BI247,0)</f>
        <v>0</v>
      </c>
      <c r="AH247" s="93">
        <f>IF(AQ247="0",BJ247,0)</f>
        <v>0</v>
      </c>
      <c r="AI247" s="88" t="s">
        <v>55</v>
      </c>
      <c r="AJ247" s="93">
        <f>IF(AN247=0,L247,0)</f>
        <v>0</v>
      </c>
      <c r="AK247" s="93">
        <f>IF(AN247=12,L247,0)</f>
        <v>0</v>
      </c>
      <c r="AL247" s="93">
        <f>IF(AN247=21,L247,0)</f>
        <v>0</v>
      </c>
      <c r="AN247" s="93">
        <v>21</v>
      </c>
      <c r="AO247" s="93">
        <f>H247*0.841592838</f>
        <v>0</v>
      </c>
      <c r="AP247" s="93">
        <f>H247*(1-0.841592838)</f>
        <v>0</v>
      </c>
      <c r="AQ247" s="94" t="s">
        <v>59</v>
      </c>
      <c r="AV247" s="93">
        <f>AW247+AX247</f>
        <v>0</v>
      </c>
      <c r="AW247" s="93">
        <f>G247*AO247</f>
        <v>0</v>
      </c>
      <c r="AX247" s="93">
        <f>G247*AP247</f>
        <v>0</v>
      </c>
      <c r="AY247" s="94" t="s">
        <v>281</v>
      </c>
      <c r="AZ247" s="94" t="s">
        <v>282</v>
      </c>
      <c r="BA247" s="88" t="s">
        <v>67</v>
      </c>
      <c r="BC247" s="93">
        <f>AW247+AX247</f>
        <v>0</v>
      </c>
      <c r="BD247" s="93">
        <f>H247/(100-BE247)*100</f>
        <v>0</v>
      </c>
      <c r="BE247" s="93">
        <v>0</v>
      </c>
      <c r="BF247" s="93">
        <f>O247</f>
        <v>9.2562914135999996</v>
      </c>
      <c r="BH247" s="93">
        <f>G247*AO247</f>
        <v>0</v>
      </c>
      <c r="BI247" s="93">
        <f>G247*AP247</f>
        <v>0</v>
      </c>
      <c r="BJ247" s="93">
        <f>G247*H247</f>
        <v>0</v>
      </c>
      <c r="BK247" s="93"/>
      <c r="BL247" s="93">
        <v>31</v>
      </c>
      <c r="BW247" s="93" t="str">
        <f>I247</f>
        <v>21</v>
      </c>
      <c r="BX247" s="2" t="s">
        <v>331</v>
      </c>
    </row>
    <row r="248" spans="1:76" s="81" customFormat="1" x14ac:dyDescent="0.25">
      <c r="A248" s="110"/>
      <c r="B248" s="95"/>
      <c r="C248" s="95"/>
      <c r="D248" s="76" t="s">
        <v>54</v>
      </c>
      <c r="E248" s="76" t="s">
        <v>320</v>
      </c>
      <c r="F248" s="95"/>
      <c r="G248" s="96">
        <v>0</v>
      </c>
      <c r="H248" s="97"/>
      <c r="I248" s="95"/>
      <c r="J248" s="95"/>
      <c r="K248" s="95"/>
      <c r="L248" s="95"/>
      <c r="M248" s="95"/>
      <c r="N248" s="95"/>
      <c r="O248" s="95"/>
      <c r="P248" s="95"/>
    </row>
    <row r="249" spans="1:76" s="81" customFormat="1" ht="25.5" x14ac:dyDescent="0.25">
      <c r="A249" s="110"/>
      <c r="B249" s="95"/>
      <c r="C249" s="95"/>
      <c r="D249" s="76" t="s">
        <v>332</v>
      </c>
      <c r="E249" s="76" t="s">
        <v>54</v>
      </c>
      <c r="F249" s="95"/>
      <c r="G249" s="96">
        <v>21.20269</v>
      </c>
      <c r="H249" s="97"/>
      <c r="I249" s="95"/>
      <c r="J249" s="95"/>
      <c r="K249" s="95"/>
      <c r="L249" s="95"/>
      <c r="M249" s="95"/>
      <c r="N249" s="95"/>
      <c r="O249" s="95"/>
      <c r="P249" s="95"/>
    </row>
    <row r="250" spans="1:76" s="81" customFormat="1" x14ac:dyDescent="0.25">
      <c r="A250" s="110"/>
      <c r="B250" s="95"/>
      <c r="C250" s="95"/>
      <c r="D250" s="76" t="s">
        <v>54</v>
      </c>
      <c r="E250" s="76" t="s">
        <v>308</v>
      </c>
      <c r="F250" s="95"/>
      <c r="G250" s="96">
        <v>0</v>
      </c>
      <c r="H250" s="97"/>
      <c r="I250" s="95"/>
      <c r="J250" s="95"/>
      <c r="K250" s="95"/>
      <c r="L250" s="95"/>
      <c r="M250" s="95"/>
      <c r="N250" s="95"/>
      <c r="O250" s="95"/>
      <c r="P250" s="95"/>
    </row>
    <row r="251" spans="1:76" s="81" customFormat="1" ht="38.25" x14ac:dyDescent="0.25">
      <c r="A251" s="110"/>
      <c r="B251" s="95"/>
      <c r="C251" s="95"/>
      <c r="D251" s="76" t="s">
        <v>333</v>
      </c>
      <c r="E251" s="76" t="s">
        <v>54</v>
      </c>
      <c r="F251" s="95"/>
      <c r="G251" s="96">
        <v>39.344880000000003</v>
      </c>
      <c r="H251" s="97"/>
      <c r="I251" s="95"/>
      <c r="J251" s="95"/>
      <c r="K251" s="95"/>
      <c r="L251" s="95"/>
      <c r="M251" s="95"/>
      <c r="N251" s="95"/>
      <c r="O251" s="95"/>
      <c r="P251" s="95"/>
    </row>
    <row r="252" spans="1:76" s="81" customFormat="1" x14ac:dyDescent="0.25">
      <c r="A252" s="110"/>
      <c r="B252" s="95"/>
      <c r="C252" s="95"/>
      <c r="D252" s="76" t="s">
        <v>334</v>
      </c>
      <c r="E252" s="76" t="s">
        <v>54</v>
      </c>
      <c r="F252" s="95"/>
      <c r="G252" s="96">
        <v>17.053799999999999</v>
      </c>
      <c r="H252" s="97"/>
      <c r="I252" s="95"/>
      <c r="J252" s="95"/>
      <c r="K252" s="95"/>
      <c r="L252" s="95"/>
      <c r="M252" s="95"/>
      <c r="N252" s="95"/>
      <c r="O252" s="95"/>
      <c r="P252" s="95"/>
    </row>
    <row r="253" spans="1:76" s="81" customFormat="1" x14ac:dyDescent="0.25">
      <c r="A253" s="66" t="s">
        <v>335</v>
      </c>
      <c r="B253" s="72" t="s">
        <v>55</v>
      </c>
      <c r="C253" s="72" t="s">
        <v>336</v>
      </c>
      <c r="D253" s="174" t="s">
        <v>337</v>
      </c>
      <c r="E253" s="174"/>
      <c r="F253" s="72" t="s">
        <v>192</v>
      </c>
      <c r="G253" s="90">
        <v>399.96262000000002</v>
      </c>
      <c r="H253" s="91"/>
      <c r="I253" s="92" t="s">
        <v>63</v>
      </c>
      <c r="J253" s="90">
        <f>G253*AO253</f>
        <v>0</v>
      </c>
      <c r="K253" s="90">
        <f>G253*AP253</f>
        <v>0</v>
      </c>
      <c r="L253" s="90">
        <f>G253*H253</f>
        <v>0</v>
      </c>
      <c r="M253" s="90">
        <f>L253*(1+BW253/100)</f>
        <v>0</v>
      </c>
      <c r="N253" s="90">
        <v>0.14419999999999999</v>
      </c>
      <c r="O253" s="90">
        <f>G253*N253</f>
        <v>57.674609803999999</v>
      </c>
      <c r="P253" s="92" t="s">
        <v>64</v>
      </c>
      <c r="Z253" s="93">
        <f>IF(AQ253="5",BJ253,0)</f>
        <v>0</v>
      </c>
      <c r="AB253" s="93">
        <f>IF(AQ253="1",BH253,0)</f>
        <v>0</v>
      </c>
      <c r="AC253" s="93">
        <f>IF(AQ253="1",BI253,0)</f>
        <v>0</v>
      </c>
      <c r="AD253" s="93">
        <f>IF(AQ253="7",BH253,0)</f>
        <v>0</v>
      </c>
      <c r="AE253" s="93">
        <f>IF(AQ253="7",BI253,0)</f>
        <v>0</v>
      </c>
      <c r="AF253" s="93">
        <f>IF(AQ253="2",BH253,0)</f>
        <v>0</v>
      </c>
      <c r="AG253" s="93">
        <f>IF(AQ253="2",BI253,0)</f>
        <v>0</v>
      </c>
      <c r="AH253" s="93">
        <f>IF(AQ253="0",BJ253,0)</f>
        <v>0</v>
      </c>
      <c r="AI253" s="88" t="s">
        <v>55</v>
      </c>
      <c r="AJ253" s="93">
        <f>IF(AN253=0,L253,0)</f>
        <v>0</v>
      </c>
      <c r="AK253" s="93">
        <f>IF(AN253=12,L253,0)</f>
        <v>0</v>
      </c>
      <c r="AL253" s="93">
        <f>IF(AN253=21,L253,0)</f>
        <v>0</v>
      </c>
      <c r="AN253" s="93">
        <v>21</v>
      </c>
      <c r="AO253" s="93">
        <f>H253*0.859825441</f>
        <v>0</v>
      </c>
      <c r="AP253" s="93">
        <f>H253*(1-0.859825441)</f>
        <v>0</v>
      </c>
      <c r="AQ253" s="94" t="s">
        <v>59</v>
      </c>
      <c r="AV253" s="93">
        <f>AW253+AX253</f>
        <v>0</v>
      </c>
      <c r="AW253" s="93">
        <f>G253*AO253</f>
        <v>0</v>
      </c>
      <c r="AX253" s="93">
        <f>G253*AP253</f>
        <v>0</v>
      </c>
      <c r="AY253" s="94" t="s">
        <v>281</v>
      </c>
      <c r="AZ253" s="94" t="s">
        <v>282</v>
      </c>
      <c r="BA253" s="88" t="s">
        <v>67</v>
      </c>
      <c r="BC253" s="93">
        <f>AW253+AX253</f>
        <v>0</v>
      </c>
      <c r="BD253" s="93">
        <f>H253/(100-BE253)*100</f>
        <v>0</v>
      </c>
      <c r="BE253" s="93">
        <v>0</v>
      </c>
      <c r="BF253" s="93">
        <f>O253</f>
        <v>57.674609803999999</v>
      </c>
      <c r="BH253" s="93">
        <f>G253*AO253</f>
        <v>0</v>
      </c>
      <c r="BI253" s="93">
        <f>G253*AP253</f>
        <v>0</v>
      </c>
      <c r="BJ253" s="93">
        <f>G253*H253</f>
        <v>0</v>
      </c>
      <c r="BK253" s="93"/>
      <c r="BL253" s="93">
        <v>31</v>
      </c>
      <c r="BW253" s="93" t="str">
        <f>I253</f>
        <v>21</v>
      </c>
      <c r="BX253" s="2" t="s">
        <v>337</v>
      </c>
    </row>
    <row r="254" spans="1:76" s="81" customFormat="1" x14ac:dyDescent="0.25">
      <c r="A254" s="110"/>
      <c r="B254" s="95"/>
      <c r="C254" s="95"/>
      <c r="D254" s="76" t="s">
        <v>54</v>
      </c>
      <c r="E254" s="76" t="s">
        <v>338</v>
      </c>
      <c r="F254" s="95"/>
      <c r="G254" s="96">
        <v>0</v>
      </c>
      <c r="H254" s="97"/>
      <c r="I254" s="95"/>
      <c r="J254" s="95"/>
      <c r="K254" s="95"/>
      <c r="L254" s="95"/>
      <c r="M254" s="95"/>
      <c r="N254" s="95"/>
      <c r="O254" s="95"/>
      <c r="P254" s="95"/>
    </row>
    <row r="255" spans="1:76" s="81" customFormat="1" x14ac:dyDescent="0.25">
      <c r="A255" s="110"/>
      <c r="B255" s="95"/>
      <c r="C255" s="95"/>
      <c r="D255" s="76" t="s">
        <v>54</v>
      </c>
      <c r="E255" s="76" t="s">
        <v>339</v>
      </c>
      <c r="F255" s="95"/>
      <c r="G255" s="96">
        <v>0</v>
      </c>
      <c r="H255" s="97"/>
      <c r="I255" s="95"/>
      <c r="J255" s="95"/>
      <c r="K255" s="95"/>
      <c r="L255" s="95"/>
      <c r="M255" s="95"/>
      <c r="N255" s="95"/>
      <c r="O255" s="95"/>
      <c r="P255" s="95"/>
    </row>
    <row r="256" spans="1:76" s="81" customFormat="1" x14ac:dyDescent="0.25">
      <c r="A256" s="110"/>
      <c r="B256" s="95"/>
      <c r="C256" s="95"/>
      <c r="D256" s="76" t="s">
        <v>340</v>
      </c>
      <c r="E256" s="76" t="s">
        <v>54</v>
      </c>
      <c r="F256" s="95"/>
      <c r="G256" s="96">
        <v>111.12794</v>
      </c>
      <c r="H256" s="97"/>
      <c r="I256" s="95"/>
      <c r="J256" s="95"/>
      <c r="K256" s="95"/>
      <c r="L256" s="95"/>
      <c r="M256" s="95"/>
      <c r="N256" s="95"/>
      <c r="O256" s="95"/>
      <c r="P256" s="95"/>
    </row>
    <row r="257" spans="1:76" s="81" customFormat="1" x14ac:dyDescent="0.25">
      <c r="A257" s="110"/>
      <c r="B257" s="95"/>
      <c r="C257" s="95"/>
      <c r="D257" s="76" t="s">
        <v>341</v>
      </c>
      <c r="E257" s="76" t="s">
        <v>54</v>
      </c>
      <c r="F257" s="95"/>
      <c r="G257" s="96">
        <v>-9.4280000000000008</v>
      </c>
      <c r="H257" s="97"/>
      <c r="I257" s="95"/>
      <c r="J257" s="95"/>
      <c r="K257" s="95"/>
      <c r="L257" s="95"/>
      <c r="M257" s="95"/>
      <c r="N257" s="95"/>
      <c r="O257" s="95"/>
      <c r="P257" s="95"/>
    </row>
    <row r="258" spans="1:76" s="81" customFormat="1" x14ac:dyDescent="0.25">
      <c r="A258" s="110"/>
      <c r="B258" s="95"/>
      <c r="C258" s="95"/>
      <c r="D258" s="76" t="s">
        <v>54</v>
      </c>
      <c r="E258" s="76" t="s">
        <v>320</v>
      </c>
      <c r="F258" s="95"/>
      <c r="G258" s="96">
        <v>0</v>
      </c>
      <c r="H258" s="97"/>
      <c r="I258" s="95"/>
      <c r="J258" s="95"/>
      <c r="K258" s="95"/>
      <c r="L258" s="95"/>
      <c r="M258" s="95"/>
      <c r="N258" s="95"/>
      <c r="O258" s="95"/>
      <c r="P258" s="95"/>
    </row>
    <row r="259" spans="1:76" s="81" customFormat="1" x14ac:dyDescent="0.25">
      <c r="A259" s="110"/>
      <c r="B259" s="95"/>
      <c r="C259" s="95"/>
      <c r="D259" s="76" t="s">
        <v>342</v>
      </c>
      <c r="E259" s="76" t="s">
        <v>54</v>
      </c>
      <c r="F259" s="95"/>
      <c r="G259" s="96">
        <v>40.292999999999999</v>
      </c>
      <c r="H259" s="97"/>
      <c r="I259" s="95"/>
      <c r="J259" s="95"/>
      <c r="K259" s="95"/>
      <c r="L259" s="95"/>
      <c r="M259" s="95"/>
      <c r="N259" s="95"/>
      <c r="O259" s="95"/>
      <c r="P259" s="95"/>
    </row>
    <row r="260" spans="1:76" s="81" customFormat="1" x14ac:dyDescent="0.25">
      <c r="A260" s="110"/>
      <c r="B260" s="95"/>
      <c r="C260" s="95"/>
      <c r="D260" s="76" t="s">
        <v>343</v>
      </c>
      <c r="E260" s="76" t="s">
        <v>54</v>
      </c>
      <c r="F260" s="95"/>
      <c r="G260" s="96">
        <v>14.2425</v>
      </c>
      <c r="H260" s="97"/>
      <c r="I260" s="95"/>
      <c r="J260" s="95"/>
      <c r="K260" s="95"/>
      <c r="L260" s="95"/>
      <c r="M260" s="95"/>
      <c r="N260" s="95"/>
      <c r="O260" s="95"/>
      <c r="P260" s="95"/>
    </row>
    <row r="261" spans="1:76" s="81" customFormat="1" x14ac:dyDescent="0.25">
      <c r="A261" s="110"/>
      <c r="B261" s="95"/>
      <c r="C261" s="95"/>
      <c r="D261" s="76" t="s">
        <v>344</v>
      </c>
      <c r="E261" s="76" t="s">
        <v>54</v>
      </c>
      <c r="F261" s="95"/>
      <c r="G261" s="96">
        <v>41.161000000000001</v>
      </c>
      <c r="H261" s="97"/>
      <c r="I261" s="95"/>
      <c r="J261" s="95"/>
      <c r="K261" s="95"/>
      <c r="L261" s="95"/>
      <c r="M261" s="95"/>
      <c r="N261" s="95"/>
      <c r="O261" s="95"/>
      <c r="P261" s="95"/>
    </row>
    <row r="262" spans="1:76" s="81" customFormat="1" x14ac:dyDescent="0.25">
      <c r="A262" s="110"/>
      <c r="B262" s="95"/>
      <c r="C262" s="95"/>
      <c r="D262" s="76" t="s">
        <v>345</v>
      </c>
      <c r="E262" s="76" t="s">
        <v>54</v>
      </c>
      <c r="F262" s="95"/>
      <c r="G262" s="96">
        <v>30.536000000000001</v>
      </c>
      <c r="H262" s="97"/>
      <c r="I262" s="95"/>
      <c r="J262" s="95"/>
      <c r="K262" s="95"/>
      <c r="L262" s="95"/>
      <c r="M262" s="95"/>
      <c r="N262" s="95"/>
      <c r="O262" s="95"/>
      <c r="P262" s="95"/>
    </row>
    <row r="263" spans="1:76" s="81" customFormat="1" ht="38.25" x14ac:dyDescent="0.25">
      <c r="A263" s="110"/>
      <c r="B263" s="95"/>
      <c r="C263" s="95"/>
      <c r="D263" s="76" t="s">
        <v>346</v>
      </c>
      <c r="E263" s="76" t="s">
        <v>54</v>
      </c>
      <c r="F263" s="95"/>
      <c r="G263" s="96">
        <v>-21.20269</v>
      </c>
      <c r="H263" s="97"/>
      <c r="I263" s="95"/>
      <c r="J263" s="95"/>
      <c r="K263" s="95"/>
      <c r="L263" s="95"/>
      <c r="M263" s="95"/>
      <c r="N263" s="95"/>
      <c r="O263" s="95"/>
      <c r="P263" s="95"/>
    </row>
    <row r="264" spans="1:76" s="81" customFormat="1" x14ac:dyDescent="0.25">
      <c r="A264" s="110"/>
      <c r="B264" s="95"/>
      <c r="C264" s="95"/>
      <c r="D264" s="76" t="s">
        <v>54</v>
      </c>
      <c r="E264" s="76" t="s">
        <v>308</v>
      </c>
      <c r="F264" s="95"/>
      <c r="G264" s="96">
        <v>0</v>
      </c>
      <c r="H264" s="97"/>
      <c r="I264" s="95"/>
      <c r="J264" s="95"/>
      <c r="K264" s="95"/>
      <c r="L264" s="95"/>
      <c r="M264" s="95"/>
      <c r="N264" s="95"/>
      <c r="O264" s="95"/>
      <c r="P264" s="95"/>
    </row>
    <row r="265" spans="1:76" s="81" customFormat="1" x14ac:dyDescent="0.25">
      <c r="A265" s="110"/>
      <c r="B265" s="95"/>
      <c r="C265" s="95"/>
      <c r="D265" s="76" t="s">
        <v>347</v>
      </c>
      <c r="E265" s="76" t="s">
        <v>54</v>
      </c>
      <c r="F265" s="95"/>
      <c r="G265" s="96">
        <v>10.858750000000001</v>
      </c>
      <c r="H265" s="97"/>
      <c r="I265" s="95"/>
      <c r="J265" s="95"/>
      <c r="K265" s="95"/>
      <c r="L265" s="95"/>
      <c r="M265" s="95"/>
      <c r="N265" s="95"/>
      <c r="O265" s="95"/>
      <c r="P265" s="95"/>
    </row>
    <row r="266" spans="1:76" s="81" customFormat="1" x14ac:dyDescent="0.25">
      <c r="A266" s="110"/>
      <c r="B266" s="95"/>
      <c r="C266" s="95"/>
      <c r="D266" s="76" t="s">
        <v>348</v>
      </c>
      <c r="E266" s="76" t="s">
        <v>54</v>
      </c>
      <c r="F266" s="95"/>
      <c r="G266" s="96">
        <v>48.84075</v>
      </c>
      <c r="H266" s="97"/>
      <c r="I266" s="95"/>
      <c r="J266" s="95"/>
      <c r="K266" s="95"/>
      <c r="L266" s="95"/>
      <c r="M266" s="95"/>
      <c r="N266" s="95"/>
      <c r="O266" s="95"/>
      <c r="P266" s="95"/>
    </row>
    <row r="267" spans="1:76" s="81" customFormat="1" x14ac:dyDescent="0.25">
      <c r="A267" s="110"/>
      <c r="B267" s="95"/>
      <c r="C267" s="95"/>
      <c r="D267" s="76" t="s">
        <v>349</v>
      </c>
      <c r="E267" s="76" t="s">
        <v>54</v>
      </c>
      <c r="F267" s="95"/>
      <c r="G267" s="96">
        <v>24.123370000000001</v>
      </c>
      <c r="H267" s="97"/>
      <c r="I267" s="95"/>
      <c r="J267" s="95"/>
      <c r="K267" s="95"/>
      <c r="L267" s="95"/>
      <c r="M267" s="95"/>
      <c r="N267" s="95"/>
      <c r="O267" s="95"/>
      <c r="P267" s="95"/>
    </row>
    <row r="268" spans="1:76" s="81" customFormat="1" x14ac:dyDescent="0.25">
      <c r="A268" s="110"/>
      <c r="B268" s="95"/>
      <c r="C268" s="95"/>
      <c r="D268" s="76" t="s">
        <v>350</v>
      </c>
      <c r="E268" s="76" t="s">
        <v>54</v>
      </c>
      <c r="F268" s="95"/>
      <c r="G268" s="96">
        <v>109.41</v>
      </c>
      <c r="H268" s="97"/>
      <c r="I268" s="95"/>
      <c r="J268" s="95"/>
      <c r="K268" s="95"/>
      <c r="L268" s="95"/>
      <c r="M268" s="95"/>
      <c r="N268" s="95"/>
      <c r="O268" s="95"/>
      <c r="P268" s="95"/>
    </row>
    <row r="269" spans="1:76" s="81" customFormat="1" x14ac:dyDescent="0.25">
      <c r="A269" s="66" t="s">
        <v>351</v>
      </c>
      <c r="B269" s="72" t="s">
        <v>55</v>
      </c>
      <c r="C269" s="72" t="s">
        <v>352</v>
      </c>
      <c r="D269" s="174" t="s">
        <v>353</v>
      </c>
      <c r="E269" s="174"/>
      <c r="F269" s="72" t="s">
        <v>203</v>
      </c>
      <c r="G269" s="90">
        <v>2</v>
      </c>
      <c r="H269" s="91"/>
      <c r="I269" s="92" t="s">
        <v>63</v>
      </c>
      <c r="J269" s="90">
        <f>G269*AO269</f>
        <v>0</v>
      </c>
      <c r="K269" s="90">
        <f>G269*AP269</f>
        <v>0</v>
      </c>
      <c r="L269" s="90">
        <f>G269*H269</f>
        <v>0</v>
      </c>
      <c r="M269" s="90">
        <f>L269*(1+BW269/100)</f>
        <v>0</v>
      </c>
      <c r="N269" s="90">
        <v>6.1599999999999997E-3</v>
      </c>
      <c r="O269" s="90">
        <f>G269*N269</f>
        <v>1.2319999999999999E-2</v>
      </c>
      <c r="P269" s="92" t="s">
        <v>64</v>
      </c>
      <c r="Z269" s="93">
        <f>IF(AQ269="5",BJ269,0)</f>
        <v>0</v>
      </c>
      <c r="AB269" s="93">
        <f>IF(AQ269="1",BH269,0)</f>
        <v>0</v>
      </c>
      <c r="AC269" s="93">
        <f>IF(AQ269="1",BI269,0)</f>
        <v>0</v>
      </c>
      <c r="AD269" s="93">
        <f>IF(AQ269="7",BH269,0)</f>
        <v>0</v>
      </c>
      <c r="AE269" s="93">
        <f>IF(AQ269="7",BI269,0)</f>
        <v>0</v>
      </c>
      <c r="AF269" s="93">
        <f>IF(AQ269="2",BH269,0)</f>
        <v>0</v>
      </c>
      <c r="AG269" s="93">
        <f>IF(AQ269="2",BI269,0)</f>
        <v>0</v>
      </c>
      <c r="AH269" s="93">
        <f>IF(AQ269="0",BJ269,0)</f>
        <v>0</v>
      </c>
      <c r="AI269" s="88" t="s">
        <v>55</v>
      </c>
      <c r="AJ269" s="93">
        <f>IF(AN269=0,L269,0)</f>
        <v>0</v>
      </c>
      <c r="AK269" s="93">
        <f>IF(AN269=12,L269,0)</f>
        <v>0</v>
      </c>
      <c r="AL269" s="93">
        <f>IF(AN269=21,L269,0)</f>
        <v>0</v>
      </c>
      <c r="AN269" s="93">
        <v>21</v>
      </c>
      <c r="AO269" s="93">
        <f>H269*0.975899633</f>
        <v>0</v>
      </c>
      <c r="AP269" s="93">
        <f>H269*(1-0.975899633)</f>
        <v>0</v>
      </c>
      <c r="AQ269" s="94" t="s">
        <v>59</v>
      </c>
      <c r="AV269" s="93">
        <f>AW269+AX269</f>
        <v>0</v>
      </c>
      <c r="AW269" s="93">
        <f>G269*AO269</f>
        <v>0</v>
      </c>
      <c r="AX269" s="93">
        <f>G269*AP269</f>
        <v>0</v>
      </c>
      <c r="AY269" s="94" t="s">
        <v>281</v>
      </c>
      <c r="AZ269" s="94" t="s">
        <v>282</v>
      </c>
      <c r="BA269" s="88" t="s">
        <v>67</v>
      </c>
      <c r="BC269" s="93">
        <f>AW269+AX269</f>
        <v>0</v>
      </c>
      <c r="BD269" s="93">
        <f>H269/(100-BE269)*100</f>
        <v>0</v>
      </c>
      <c r="BE269" s="93">
        <v>0</v>
      </c>
      <c r="BF269" s="93">
        <f>O269</f>
        <v>1.2319999999999999E-2</v>
      </c>
      <c r="BH269" s="93">
        <f>G269*AO269</f>
        <v>0</v>
      </c>
      <c r="BI269" s="93">
        <f>G269*AP269</f>
        <v>0</v>
      </c>
      <c r="BJ269" s="93">
        <f>G269*H269</f>
        <v>0</v>
      </c>
      <c r="BK269" s="93"/>
      <c r="BL269" s="93">
        <v>31</v>
      </c>
      <c r="BW269" s="93" t="str">
        <f>I269</f>
        <v>21</v>
      </c>
      <c r="BX269" s="2" t="s">
        <v>353</v>
      </c>
    </row>
    <row r="270" spans="1:76" s="81" customFormat="1" x14ac:dyDescent="0.25">
      <c r="A270" s="66" t="s">
        <v>354</v>
      </c>
      <c r="B270" s="72" t="s">
        <v>55</v>
      </c>
      <c r="C270" s="72" t="s">
        <v>355</v>
      </c>
      <c r="D270" s="174" t="s">
        <v>356</v>
      </c>
      <c r="E270" s="174"/>
      <c r="F270" s="72" t="s">
        <v>213</v>
      </c>
      <c r="G270" s="90">
        <v>2</v>
      </c>
      <c r="H270" s="91"/>
      <c r="I270" s="92" t="s">
        <v>63</v>
      </c>
      <c r="J270" s="90">
        <f>G270*AO270</f>
        <v>0</v>
      </c>
      <c r="K270" s="90">
        <f>G270*AP270</f>
        <v>0</v>
      </c>
      <c r="L270" s="90">
        <f>G270*H270</f>
        <v>0</v>
      </c>
      <c r="M270" s="90">
        <f>L270*(1+BW270/100)</f>
        <v>0</v>
      </c>
      <c r="N270" s="90">
        <v>1.4019999999999999E-2</v>
      </c>
      <c r="O270" s="90">
        <f>G270*N270</f>
        <v>2.8039999999999999E-2</v>
      </c>
      <c r="P270" s="92" t="s">
        <v>64</v>
      </c>
      <c r="Z270" s="93">
        <f>IF(AQ270="5",BJ270,0)</f>
        <v>0</v>
      </c>
      <c r="AB270" s="93">
        <f>IF(AQ270="1",BH270,0)</f>
        <v>0</v>
      </c>
      <c r="AC270" s="93">
        <f>IF(AQ270="1",BI270,0)</f>
        <v>0</v>
      </c>
      <c r="AD270" s="93">
        <f>IF(AQ270="7",BH270,0)</f>
        <v>0</v>
      </c>
      <c r="AE270" s="93">
        <f>IF(AQ270="7",BI270,0)</f>
        <v>0</v>
      </c>
      <c r="AF270" s="93">
        <f>IF(AQ270="2",BH270,0)</f>
        <v>0</v>
      </c>
      <c r="AG270" s="93">
        <f>IF(AQ270="2",BI270,0)</f>
        <v>0</v>
      </c>
      <c r="AH270" s="93">
        <f>IF(AQ270="0",BJ270,0)</f>
        <v>0</v>
      </c>
      <c r="AI270" s="88" t="s">
        <v>55</v>
      </c>
      <c r="AJ270" s="93">
        <f>IF(AN270=0,L270,0)</f>
        <v>0</v>
      </c>
      <c r="AK270" s="93">
        <f>IF(AN270=12,L270,0)</f>
        <v>0</v>
      </c>
      <c r="AL270" s="93">
        <f>IF(AN270=21,L270,0)</f>
        <v>0</v>
      </c>
      <c r="AN270" s="93">
        <v>21</v>
      </c>
      <c r="AO270" s="93">
        <f>H270*0.938207034</f>
        <v>0</v>
      </c>
      <c r="AP270" s="93">
        <f>H270*(1-0.938207034)</f>
        <v>0</v>
      </c>
      <c r="AQ270" s="94" t="s">
        <v>59</v>
      </c>
      <c r="AV270" s="93">
        <f>AW270+AX270</f>
        <v>0</v>
      </c>
      <c r="AW270" s="93">
        <f>G270*AO270</f>
        <v>0</v>
      </c>
      <c r="AX270" s="93">
        <f>G270*AP270</f>
        <v>0</v>
      </c>
      <c r="AY270" s="94" t="s">
        <v>281</v>
      </c>
      <c r="AZ270" s="94" t="s">
        <v>282</v>
      </c>
      <c r="BA270" s="88" t="s">
        <v>67</v>
      </c>
      <c r="BC270" s="93">
        <f>AW270+AX270</f>
        <v>0</v>
      </c>
      <c r="BD270" s="93">
        <f>H270/(100-BE270)*100</f>
        <v>0</v>
      </c>
      <c r="BE270" s="93">
        <v>0</v>
      </c>
      <c r="BF270" s="93">
        <f>O270</f>
        <v>2.8039999999999999E-2</v>
      </c>
      <c r="BH270" s="93">
        <f>G270*AO270</f>
        <v>0</v>
      </c>
      <c r="BI270" s="93">
        <f>G270*AP270</f>
        <v>0</v>
      </c>
      <c r="BJ270" s="93">
        <f>G270*H270</f>
        <v>0</v>
      </c>
      <c r="BK270" s="93"/>
      <c r="BL270" s="93">
        <v>31</v>
      </c>
      <c r="BW270" s="93" t="str">
        <f>I270</f>
        <v>21</v>
      </c>
      <c r="BX270" s="2" t="s">
        <v>356</v>
      </c>
    </row>
    <row r="271" spans="1:76" s="81" customFormat="1" ht="13.5" customHeight="1" x14ac:dyDescent="0.25">
      <c r="A271" s="110"/>
      <c r="B271" s="95"/>
      <c r="C271" s="95"/>
      <c r="D271" s="179" t="s">
        <v>357</v>
      </c>
      <c r="E271" s="179"/>
      <c r="F271" s="179"/>
      <c r="G271" s="179"/>
      <c r="H271" s="179"/>
      <c r="I271" s="179"/>
      <c r="J271" s="179"/>
      <c r="K271" s="179"/>
      <c r="L271" s="179"/>
      <c r="M271" s="179"/>
      <c r="N271" s="179"/>
      <c r="O271" s="179"/>
      <c r="P271" s="179"/>
    </row>
    <row r="272" spans="1:76" s="81" customFormat="1" x14ac:dyDescent="0.25">
      <c r="A272" s="66" t="s">
        <v>358</v>
      </c>
      <c r="B272" s="72" t="s">
        <v>55</v>
      </c>
      <c r="C272" s="72" t="s">
        <v>359</v>
      </c>
      <c r="D272" s="174" t="s">
        <v>360</v>
      </c>
      <c r="E272" s="174"/>
      <c r="F272" s="72" t="s">
        <v>203</v>
      </c>
      <c r="G272" s="90">
        <v>1</v>
      </c>
      <c r="H272" s="91"/>
      <c r="I272" s="92" t="s">
        <v>63</v>
      </c>
      <c r="J272" s="90">
        <f>G272*AO272</f>
        <v>0</v>
      </c>
      <c r="K272" s="90">
        <f>G272*AP272</f>
        <v>0</v>
      </c>
      <c r="L272" s="90">
        <f>G272*H272</f>
        <v>0</v>
      </c>
      <c r="M272" s="90">
        <f>L272*(1+BW272/100)</f>
        <v>0</v>
      </c>
      <c r="N272" s="90">
        <v>8.4000000000000003E-4</v>
      </c>
      <c r="O272" s="90">
        <f>G272*N272</f>
        <v>8.4000000000000003E-4</v>
      </c>
      <c r="P272" s="92" t="s">
        <v>64</v>
      </c>
      <c r="Z272" s="93">
        <f>IF(AQ272="5",BJ272,0)</f>
        <v>0</v>
      </c>
      <c r="AB272" s="93">
        <f>IF(AQ272="1",BH272,0)</f>
        <v>0</v>
      </c>
      <c r="AC272" s="93">
        <f>IF(AQ272="1",BI272,0)</f>
        <v>0</v>
      </c>
      <c r="AD272" s="93">
        <f>IF(AQ272="7",BH272,0)</f>
        <v>0</v>
      </c>
      <c r="AE272" s="93">
        <f>IF(AQ272="7",BI272,0)</f>
        <v>0</v>
      </c>
      <c r="AF272" s="93">
        <f>IF(AQ272="2",BH272,0)</f>
        <v>0</v>
      </c>
      <c r="AG272" s="93">
        <f>IF(AQ272="2",BI272,0)</f>
        <v>0</v>
      </c>
      <c r="AH272" s="93">
        <f>IF(AQ272="0",BJ272,0)</f>
        <v>0</v>
      </c>
      <c r="AI272" s="88" t="s">
        <v>55</v>
      </c>
      <c r="AJ272" s="93">
        <f>IF(AN272=0,L272,0)</f>
        <v>0</v>
      </c>
      <c r="AK272" s="93">
        <f>IF(AN272=12,L272,0)</f>
        <v>0</v>
      </c>
      <c r="AL272" s="93">
        <f>IF(AN272=21,L272,0)</f>
        <v>0</v>
      </c>
      <c r="AN272" s="93">
        <v>21</v>
      </c>
      <c r="AO272" s="93">
        <f>H272*0.840353724</f>
        <v>0</v>
      </c>
      <c r="AP272" s="93">
        <f>H272*(1-0.840353724)</f>
        <v>0</v>
      </c>
      <c r="AQ272" s="94" t="s">
        <v>59</v>
      </c>
      <c r="AV272" s="93">
        <f>AW272+AX272</f>
        <v>0</v>
      </c>
      <c r="AW272" s="93">
        <f>G272*AO272</f>
        <v>0</v>
      </c>
      <c r="AX272" s="93">
        <f>G272*AP272</f>
        <v>0</v>
      </c>
      <c r="AY272" s="94" t="s">
        <v>281</v>
      </c>
      <c r="AZ272" s="94" t="s">
        <v>282</v>
      </c>
      <c r="BA272" s="88" t="s">
        <v>67</v>
      </c>
      <c r="BC272" s="93">
        <f>AW272+AX272</f>
        <v>0</v>
      </c>
      <c r="BD272" s="93">
        <f>H272/(100-BE272)*100</f>
        <v>0</v>
      </c>
      <c r="BE272" s="93">
        <v>0</v>
      </c>
      <c r="BF272" s="93">
        <f>O272</f>
        <v>8.4000000000000003E-4</v>
      </c>
      <c r="BH272" s="93">
        <f>G272*AO272</f>
        <v>0</v>
      </c>
      <c r="BI272" s="93">
        <f>G272*AP272</f>
        <v>0</v>
      </c>
      <c r="BJ272" s="93">
        <f>G272*H272</f>
        <v>0</v>
      </c>
      <c r="BK272" s="93"/>
      <c r="BL272" s="93">
        <v>31</v>
      </c>
      <c r="BW272" s="93" t="str">
        <f>I272</f>
        <v>21</v>
      </c>
      <c r="BX272" s="2" t="s">
        <v>360</v>
      </c>
    </row>
    <row r="273" spans="1:76" s="81" customFormat="1" x14ac:dyDescent="0.25">
      <c r="A273" s="66" t="s">
        <v>361</v>
      </c>
      <c r="B273" s="72" t="s">
        <v>55</v>
      </c>
      <c r="C273" s="72" t="s">
        <v>362</v>
      </c>
      <c r="D273" s="174" t="s">
        <v>363</v>
      </c>
      <c r="E273" s="174"/>
      <c r="F273" s="72" t="s">
        <v>203</v>
      </c>
      <c r="G273" s="90">
        <v>1</v>
      </c>
      <c r="H273" s="91"/>
      <c r="I273" s="92" t="s">
        <v>63</v>
      </c>
      <c r="J273" s="90">
        <f>G273*AO273</f>
        <v>0</v>
      </c>
      <c r="K273" s="90">
        <f>G273*AP273</f>
        <v>0</v>
      </c>
      <c r="L273" s="90">
        <f>G273*H273</f>
        <v>0</v>
      </c>
      <c r="M273" s="90">
        <f>L273*(1+BW273/100)</f>
        <v>0</v>
      </c>
      <c r="N273" s="90">
        <v>9.1599999999999997E-3</v>
      </c>
      <c r="O273" s="90">
        <f>G273*N273</f>
        <v>9.1599999999999997E-3</v>
      </c>
      <c r="P273" s="92" t="s">
        <v>64</v>
      </c>
      <c r="Z273" s="93">
        <f>IF(AQ273="5",BJ273,0)</f>
        <v>0</v>
      </c>
      <c r="AB273" s="93">
        <f>IF(AQ273="1",BH273,0)</f>
        <v>0</v>
      </c>
      <c r="AC273" s="93">
        <f>IF(AQ273="1",BI273,0)</f>
        <v>0</v>
      </c>
      <c r="AD273" s="93">
        <f>IF(AQ273="7",BH273,0)</f>
        <v>0</v>
      </c>
      <c r="AE273" s="93">
        <f>IF(AQ273="7",BI273,0)</f>
        <v>0</v>
      </c>
      <c r="AF273" s="93">
        <f>IF(AQ273="2",BH273,0)</f>
        <v>0</v>
      </c>
      <c r="AG273" s="93">
        <f>IF(AQ273="2",BI273,0)</f>
        <v>0</v>
      </c>
      <c r="AH273" s="93">
        <f>IF(AQ273="0",BJ273,0)</f>
        <v>0</v>
      </c>
      <c r="AI273" s="88" t="s">
        <v>55</v>
      </c>
      <c r="AJ273" s="93">
        <f>IF(AN273=0,L273,0)</f>
        <v>0</v>
      </c>
      <c r="AK273" s="93">
        <f>IF(AN273=12,L273,0)</f>
        <v>0</v>
      </c>
      <c r="AL273" s="93">
        <f>IF(AN273=21,L273,0)</f>
        <v>0</v>
      </c>
      <c r="AN273" s="93">
        <v>21</v>
      </c>
      <c r="AO273" s="93">
        <f>H273*0.981427758</f>
        <v>0</v>
      </c>
      <c r="AP273" s="93">
        <f>H273*(1-0.981427758)</f>
        <v>0</v>
      </c>
      <c r="AQ273" s="94" t="s">
        <v>59</v>
      </c>
      <c r="AV273" s="93">
        <f>AW273+AX273</f>
        <v>0</v>
      </c>
      <c r="AW273" s="93">
        <f>G273*AO273</f>
        <v>0</v>
      </c>
      <c r="AX273" s="93">
        <f>G273*AP273</f>
        <v>0</v>
      </c>
      <c r="AY273" s="94" t="s">
        <v>281</v>
      </c>
      <c r="AZ273" s="94" t="s">
        <v>282</v>
      </c>
      <c r="BA273" s="88" t="s">
        <v>67</v>
      </c>
      <c r="BC273" s="93">
        <f>AW273+AX273</f>
        <v>0</v>
      </c>
      <c r="BD273" s="93">
        <f>H273/(100-BE273)*100</f>
        <v>0</v>
      </c>
      <c r="BE273" s="93">
        <v>0</v>
      </c>
      <c r="BF273" s="93">
        <f>O273</f>
        <v>9.1599999999999997E-3</v>
      </c>
      <c r="BH273" s="93">
        <f>G273*AO273</f>
        <v>0</v>
      </c>
      <c r="BI273" s="93">
        <f>G273*AP273</f>
        <v>0</v>
      </c>
      <c r="BJ273" s="93">
        <f>G273*H273</f>
        <v>0</v>
      </c>
      <c r="BK273" s="93"/>
      <c r="BL273" s="93">
        <v>31</v>
      </c>
      <c r="BW273" s="93" t="str">
        <f>I273</f>
        <v>21</v>
      </c>
      <c r="BX273" s="2" t="s">
        <v>363</v>
      </c>
    </row>
    <row r="274" spans="1:76" s="81" customFormat="1" x14ac:dyDescent="0.25">
      <c r="A274" s="66" t="s">
        <v>364</v>
      </c>
      <c r="B274" s="72" t="s">
        <v>55</v>
      </c>
      <c r="C274" s="72" t="s">
        <v>365</v>
      </c>
      <c r="D274" s="174" t="s">
        <v>366</v>
      </c>
      <c r="E274" s="174"/>
      <c r="F274" s="72" t="s">
        <v>203</v>
      </c>
      <c r="G274" s="90">
        <v>1</v>
      </c>
      <c r="H274" s="91"/>
      <c r="I274" s="92" t="s">
        <v>63</v>
      </c>
      <c r="J274" s="90">
        <f>G274*AO274</f>
        <v>0</v>
      </c>
      <c r="K274" s="90">
        <f>G274*AP274</f>
        <v>0</v>
      </c>
      <c r="L274" s="90">
        <f>G274*H274</f>
        <v>0</v>
      </c>
      <c r="M274" s="90">
        <f>L274*(1+BW274/100)</f>
        <v>0</v>
      </c>
      <c r="N274" s="90">
        <v>6.2100000000000002E-3</v>
      </c>
      <c r="O274" s="90">
        <f>G274*N274</f>
        <v>6.2100000000000002E-3</v>
      </c>
      <c r="P274" s="92" t="s">
        <v>64</v>
      </c>
      <c r="Z274" s="93">
        <f>IF(AQ274="5",BJ274,0)</f>
        <v>0</v>
      </c>
      <c r="AB274" s="93">
        <f>IF(AQ274="1",BH274,0)</f>
        <v>0</v>
      </c>
      <c r="AC274" s="93">
        <f>IF(AQ274="1",BI274,0)</f>
        <v>0</v>
      </c>
      <c r="AD274" s="93">
        <f>IF(AQ274="7",BH274,0)</f>
        <v>0</v>
      </c>
      <c r="AE274" s="93">
        <f>IF(AQ274="7",BI274,0)</f>
        <v>0</v>
      </c>
      <c r="AF274" s="93">
        <f>IF(AQ274="2",BH274,0)</f>
        <v>0</v>
      </c>
      <c r="AG274" s="93">
        <f>IF(AQ274="2",BI274,0)</f>
        <v>0</v>
      </c>
      <c r="AH274" s="93">
        <f>IF(AQ274="0",BJ274,0)</f>
        <v>0</v>
      </c>
      <c r="AI274" s="88" t="s">
        <v>55</v>
      </c>
      <c r="AJ274" s="93">
        <f>IF(AN274=0,L274,0)</f>
        <v>0</v>
      </c>
      <c r="AK274" s="93">
        <f>IF(AN274=12,L274,0)</f>
        <v>0</v>
      </c>
      <c r="AL274" s="93">
        <f>IF(AN274=21,L274,0)</f>
        <v>0</v>
      </c>
      <c r="AN274" s="93">
        <v>21</v>
      </c>
      <c r="AO274" s="93">
        <f>H274*0.969460413</f>
        <v>0</v>
      </c>
      <c r="AP274" s="93">
        <f>H274*(1-0.969460413)</f>
        <v>0</v>
      </c>
      <c r="AQ274" s="94" t="s">
        <v>59</v>
      </c>
      <c r="AV274" s="93">
        <f>AW274+AX274</f>
        <v>0</v>
      </c>
      <c r="AW274" s="93">
        <f>G274*AO274</f>
        <v>0</v>
      </c>
      <c r="AX274" s="93">
        <f>G274*AP274</f>
        <v>0</v>
      </c>
      <c r="AY274" s="94" t="s">
        <v>281</v>
      </c>
      <c r="AZ274" s="94" t="s">
        <v>282</v>
      </c>
      <c r="BA274" s="88" t="s">
        <v>67</v>
      </c>
      <c r="BC274" s="93">
        <f>AW274+AX274</f>
        <v>0</v>
      </c>
      <c r="BD274" s="93">
        <f>H274/(100-BE274)*100</f>
        <v>0</v>
      </c>
      <c r="BE274" s="93">
        <v>0</v>
      </c>
      <c r="BF274" s="93">
        <f>O274</f>
        <v>6.2100000000000002E-3</v>
      </c>
      <c r="BH274" s="93">
        <f>G274*AO274</f>
        <v>0</v>
      </c>
      <c r="BI274" s="93">
        <f>G274*AP274</f>
        <v>0</v>
      </c>
      <c r="BJ274" s="93">
        <f>G274*H274</f>
        <v>0</v>
      </c>
      <c r="BK274" s="93"/>
      <c r="BL274" s="93">
        <v>31</v>
      </c>
      <c r="BW274" s="93" t="str">
        <f>I274</f>
        <v>21</v>
      </c>
      <c r="BX274" s="2" t="s">
        <v>366</v>
      </c>
    </row>
    <row r="275" spans="1:76" s="81" customFormat="1" ht="13.5" customHeight="1" x14ac:dyDescent="0.25">
      <c r="A275" s="110"/>
      <c r="B275" s="95"/>
      <c r="C275" s="95"/>
      <c r="D275" s="179" t="s">
        <v>367</v>
      </c>
      <c r="E275" s="179"/>
      <c r="F275" s="179"/>
      <c r="G275" s="179"/>
      <c r="H275" s="179"/>
      <c r="I275" s="179"/>
      <c r="J275" s="179"/>
      <c r="K275" s="179"/>
      <c r="L275" s="179"/>
      <c r="M275" s="179"/>
      <c r="N275" s="179"/>
      <c r="O275" s="179"/>
      <c r="P275" s="179"/>
    </row>
    <row r="276" spans="1:76" s="81" customFormat="1" x14ac:dyDescent="0.25">
      <c r="A276" s="66" t="s">
        <v>368</v>
      </c>
      <c r="B276" s="72" t="s">
        <v>55</v>
      </c>
      <c r="C276" s="72" t="s">
        <v>369</v>
      </c>
      <c r="D276" s="174" t="s">
        <v>370</v>
      </c>
      <c r="E276" s="174"/>
      <c r="F276" s="72" t="s">
        <v>203</v>
      </c>
      <c r="G276" s="90">
        <v>2</v>
      </c>
      <c r="H276" s="91"/>
      <c r="I276" s="92" t="s">
        <v>63</v>
      </c>
      <c r="J276" s="90">
        <f>G276*AO276</f>
        <v>0</v>
      </c>
      <c r="K276" s="90">
        <f>G276*AP276</f>
        <v>0</v>
      </c>
      <c r="L276" s="90">
        <f>G276*H276</f>
        <v>0</v>
      </c>
      <c r="M276" s="90">
        <f>L276*(1+BW276/100)</f>
        <v>0</v>
      </c>
      <c r="N276" s="90">
        <v>2.18E-2</v>
      </c>
      <c r="O276" s="90">
        <f>G276*N276</f>
        <v>4.36E-2</v>
      </c>
      <c r="P276" s="92" t="s">
        <v>371</v>
      </c>
      <c r="Z276" s="93">
        <f>IF(AQ276="5",BJ276,0)</f>
        <v>0</v>
      </c>
      <c r="AB276" s="93">
        <f>IF(AQ276="1",BH276,0)</f>
        <v>0</v>
      </c>
      <c r="AC276" s="93">
        <f>IF(AQ276="1",BI276,0)</f>
        <v>0</v>
      </c>
      <c r="AD276" s="93">
        <f>IF(AQ276="7",BH276,0)</f>
        <v>0</v>
      </c>
      <c r="AE276" s="93">
        <f>IF(AQ276="7",BI276,0)</f>
        <v>0</v>
      </c>
      <c r="AF276" s="93">
        <f>IF(AQ276="2",BH276,0)</f>
        <v>0</v>
      </c>
      <c r="AG276" s="93">
        <f>IF(AQ276="2",BI276,0)</f>
        <v>0</v>
      </c>
      <c r="AH276" s="93">
        <f>IF(AQ276="0",BJ276,0)</f>
        <v>0</v>
      </c>
      <c r="AI276" s="88" t="s">
        <v>55</v>
      </c>
      <c r="AJ276" s="93">
        <f>IF(AN276=0,L276,0)</f>
        <v>0</v>
      </c>
      <c r="AK276" s="93">
        <f>IF(AN276=12,L276,0)</f>
        <v>0</v>
      </c>
      <c r="AL276" s="93">
        <f>IF(AN276=21,L276,0)</f>
        <v>0</v>
      </c>
      <c r="AN276" s="93">
        <v>21</v>
      </c>
      <c r="AO276" s="93">
        <f>H276*0</f>
        <v>0</v>
      </c>
      <c r="AP276" s="93">
        <f>H276*(1-0)</f>
        <v>0</v>
      </c>
      <c r="AQ276" s="94" t="s">
        <v>59</v>
      </c>
      <c r="AV276" s="93">
        <f>AW276+AX276</f>
        <v>0</v>
      </c>
      <c r="AW276" s="93">
        <f>G276*AO276</f>
        <v>0</v>
      </c>
      <c r="AX276" s="93">
        <f>G276*AP276</f>
        <v>0</v>
      </c>
      <c r="AY276" s="94" t="s">
        <v>281</v>
      </c>
      <c r="AZ276" s="94" t="s">
        <v>282</v>
      </c>
      <c r="BA276" s="88" t="s">
        <v>67</v>
      </c>
      <c r="BC276" s="93">
        <f>AW276+AX276</f>
        <v>0</v>
      </c>
      <c r="BD276" s="93">
        <f>H276/(100-BE276)*100</f>
        <v>0</v>
      </c>
      <c r="BE276" s="93">
        <v>0</v>
      </c>
      <c r="BF276" s="93">
        <f>O276</f>
        <v>4.36E-2</v>
      </c>
      <c r="BH276" s="93">
        <f>G276*AO276</f>
        <v>0</v>
      </c>
      <c r="BI276" s="93">
        <f>G276*AP276</f>
        <v>0</v>
      </c>
      <c r="BJ276" s="93">
        <f>G276*H276</f>
        <v>0</v>
      </c>
      <c r="BK276" s="93"/>
      <c r="BL276" s="93">
        <v>31</v>
      </c>
      <c r="BW276" s="93" t="str">
        <f>I276</f>
        <v>21</v>
      </c>
      <c r="BX276" s="2" t="s">
        <v>370</v>
      </c>
    </row>
    <row r="277" spans="1:76" s="81" customFormat="1" x14ac:dyDescent="0.25">
      <c r="A277" s="66" t="s">
        <v>372</v>
      </c>
      <c r="B277" s="72" t="s">
        <v>55</v>
      </c>
      <c r="C277" s="72" t="s">
        <v>373</v>
      </c>
      <c r="D277" s="174" t="s">
        <v>374</v>
      </c>
      <c r="E277" s="174"/>
      <c r="F277" s="72" t="s">
        <v>203</v>
      </c>
      <c r="G277" s="90">
        <v>1</v>
      </c>
      <c r="H277" s="91"/>
      <c r="I277" s="92" t="s">
        <v>63</v>
      </c>
      <c r="J277" s="90">
        <f>G277*AO277</f>
        <v>0</v>
      </c>
      <c r="K277" s="90">
        <f>G277*AP277</f>
        <v>0</v>
      </c>
      <c r="L277" s="90">
        <f>G277*H277</f>
        <v>0</v>
      </c>
      <c r="M277" s="90">
        <f>L277*(1+BW277/100)</f>
        <v>0</v>
      </c>
      <c r="N277" s="90">
        <v>6.1799999999999997E-3</v>
      </c>
      <c r="O277" s="90">
        <f>G277*N277</f>
        <v>6.1799999999999997E-3</v>
      </c>
      <c r="P277" s="92" t="s">
        <v>64</v>
      </c>
      <c r="Z277" s="93">
        <f>IF(AQ277="5",BJ277,0)</f>
        <v>0</v>
      </c>
      <c r="AB277" s="93">
        <f>IF(AQ277="1",BH277,0)</f>
        <v>0</v>
      </c>
      <c r="AC277" s="93">
        <f>IF(AQ277="1",BI277,0)</f>
        <v>0</v>
      </c>
      <c r="AD277" s="93">
        <f>IF(AQ277="7",BH277,0)</f>
        <v>0</v>
      </c>
      <c r="AE277" s="93">
        <f>IF(AQ277="7",BI277,0)</f>
        <v>0</v>
      </c>
      <c r="AF277" s="93">
        <f>IF(AQ277="2",BH277,0)</f>
        <v>0</v>
      </c>
      <c r="AG277" s="93">
        <f>IF(AQ277="2",BI277,0)</f>
        <v>0</v>
      </c>
      <c r="AH277" s="93">
        <f>IF(AQ277="0",BJ277,0)</f>
        <v>0</v>
      </c>
      <c r="AI277" s="88" t="s">
        <v>55</v>
      </c>
      <c r="AJ277" s="93">
        <f>IF(AN277=0,L277,0)</f>
        <v>0</v>
      </c>
      <c r="AK277" s="93">
        <f>IF(AN277=12,L277,0)</f>
        <v>0</v>
      </c>
      <c r="AL277" s="93">
        <f>IF(AN277=21,L277,0)</f>
        <v>0</v>
      </c>
      <c r="AN277" s="93">
        <v>21</v>
      </c>
      <c r="AO277" s="93">
        <f>H277*1</f>
        <v>0</v>
      </c>
      <c r="AP277" s="93">
        <f>H277*(1-1)</f>
        <v>0</v>
      </c>
      <c r="AQ277" s="94" t="s">
        <v>59</v>
      </c>
      <c r="AV277" s="93">
        <f>AW277+AX277</f>
        <v>0</v>
      </c>
      <c r="AW277" s="93">
        <f>G277*AO277</f>
        <v>0</v>
      </c>
      <c r="AX277" s="93">
        <f>G277*AP277</f>
        <v>0</v>
      </c>
      <c r="AY277" s="94" t="s">
        <v>281</v>
      </c>
      <c r="AZ277" s="94" t="s">
        <v>282</v>
      </c>
      <c r="BA277" s="88" t="s">
        <v>67</v>
      </c>
      <c r="BC277" s="93">
        <f>AW277+AX277</f>
        <v>0</v>
      </c>
      <c r="BD277" s="93">
        <f>H277/(100-BE277)*100</f>
        <v>0</v>
      </c>
      <c r="BE277" s="93">
        <v>0</v>
      </c>
      <c r="BF277" s="93">
        <f>O277</f>
        <v>6.1799999999999997E-3</v>
      </c>
      <c r="BH277" s="93">
        <f>G277*AO277</f>
        <v>0</v>
      </c>
      <c r="BI277" s="93">
        <f>G277*AP277</f>
        <v>0</v>
      </c>
      <c r="BJ277" s="93">
        <f>G277*H277</f>
        <v>0</v>
      </c>
      <c r="BK277" s="93"/>
      <c r="BL277" s="93">
        <v>31</v>
      </c>
      <c r="BW277" s="93" t="str">
        <f>I277</f>
        <v>21</v>
      </c>
      <c r="BX277" s="2" t="s">
        <v>374</v>
      </c>
    </row>
    <row r="278" spans="1:76" s="81" customFormat="1" x14ac:dyDescent="0.25">
      <c r="A278" s="66" t="s">
        <v>375</v>
      </c>
      <c r="B278" s="72" t="s">
        <v>55</v>
      </c>
      <c r="C278" s="72" t="s">
        <v>376</v>
      </c>
      <c r="D278" s="174" t="s">
        <v>377</v>
      </c>
      <c r="E278" s="174"/>
      <c r="F278" s="72" t="s">
        <v>203</v>
      </c>
      <c r="G278" s="90">
        <v>1</v>
      </c>
      <c r="H278" s="91"/>
      <c r="I278" s="92" t="s">
        <v>63</v>
      </c>
      <c r="J278" s="90">
        <f>G278*AO278</f>
        <v>0</v>
      </c>
      <c r="K278" s="90">
        <f>G278*AP278</f>
        <v>0</v>
      </c>
      <c r="L278" s="90">
        <f>G278*H278</f>
        <v>0</v>
      </c>
      <c r="M278" s="90">
        <f>L278*(1+BW278/100)</f>
        <v>0</v>
      </c>
      <c r="N278" s="90">
        <v>2.8999999999999998E-3</v>
      </c>
      <c r="O278" s="90">
        <f>G278*N278</f>
        <v>2.8999999999999998E-3</v>
      </c>
      <c r="P278" s="92" t="s">
        <v>64</v>
      </c>
      <c r="Z278" s="93">
        <f>IF(AQ278="5",BJ278,0)</f>
        <v>0</v>
      </c>
      <c r="AB278" s="93">
        <f>IF(AQ278="1",BH278,0)</f>
        <v>0</v>
      </c>
      <c r="AC278" s="93">
        <f>IF(AQ278="1",BI278,0)</f>
        <v>0</v>
      </c>
      <c r="AD278" s="93">
        <f>IF(AQ278="7",BH278,0)</f>
        <v>0</v>
      </c>
      <c r="AE278" s="93">
        <f>IF(AQ278="7",BI278,0)</f>
        <v>0</v>
      </c>
      <c r="AF278" s="93">
        <f>IF(AQ278="2",BH278,0)</f>
        <v>0</v>
      </c>
      <c r="AG278" s="93">
        <f>IF(AQ278="2",BI278,0)</f>
        <v>0</v>
      </c>
      <c r="AH278" s="93">
        <f>IF(AQ278="0",BJ278,0)</f>
        <v>0</v>
      </c>
      <c r="AI278" s="88" t="s">
        <v>55</v>
      </c>
      <c r="AJ278" s="93">
        <f>IF(AN278=0,L278,0)</f>
        <v>0</v>
      </c>
      <c r="AK278" s="93">
        <f>IF(AN278=12,L278,0)</f>
        <v>0</v>
      </c>
      <c r="AL278" s="93">
        <f>IF(AN278=21,L278,0)</f>
        <v>0</v>
      </c>
      <c r="AN278" s="93">
        <v>21</v>
      </c>
      <c r="AO278" s="93">
        <f>H278*1</f>
        <v>0</v>
      </c>
      <c r="AP278" s="93">
        <f>H278*(1-1)</f>
        <v>0</v>
      </c>
      <c r="AQ278" s="94" t="s">
        <v>59</v>
      </c>
      <c r="AV278" s="93">
        <f>AW278+AX278</f>
        <v>0</v>
      </c>
      <c r="AW278" s="93">
        <f>G278*AO278</f>
        <v>0</v>
      </c>
      <c r="AX278" s="93">
        <f>G278*AP278</f>
        <v>0</v>
      </c>
      <c r="AY278" s="94" t="s">
        <v>281</v>
      </c>
      <c r="AZ278" s="94" t="s">
        <v>282</v>
      </c>
      <c r="BA278" s="88" t="s">
        <v>67</v>
      </c>
      <c r="BC278" s="93">
        <f>AW278+AX278</f>
        <v>0</v>
      </c>
      <c r="BD278" s="93">
        <f>H278/(100-BE278)*100</f>
        <v>0</v>
      </c>
      <c r="BE278" s="93">
        <v>0</v>
      </c>
      <c r="BF278" s="93">
        <f>O278</f>
        <v>2.8999999999999998E-3</v>
      </c>
      <c r="BH278" s="93">
        <f>G278*AO278</f>
        <v>0</v>
      </c>
      <c r="BI278" s="93">
        <f>G278*AP278</f>
        <v>0</v>
      </c>
      <c r="BJ278" s="93">
        <f>G278*H278</f>
        <v>0</v>
      </c>
      <c r="BK278" s="93"/>
      <c r="BL278" s="93">
        <v>31</v>
      </c>
      <c r="BW278" s="93" t="str">
        <f>I278</f>
        <v>21</v>
      </c>
      <c r="BX278" s="2" t="s">
        <v>377</v>
      </c>
    </row>
    <row r="279" spans="1:76" s="81" customFormat="1" x14ac:dyDescent="0.25">
      <c r="A279" s="66" t="s">
        <v>378</v>
      </c>
      <c r="B279" s="72" t="s">
        <v>55</v>
      </c>
      <c r="C279" s="72" t="s">
        <v>379</v>
      </c>
      <c r="D279" s="174" t="s">
        <v>380</v>
      </c>
      <c r="E279" s="174"/>
      <c r="F279" s="72" t="s">
        <v>62</v>
      </c>
      <c r="G279" s="90">
        <v>30.045999999999999</v>
      </c>
      <c r="H279" s="91"/>
      <c r="I279" s="92" t="s">
        <v>63</v>
      </c>
      <c r="J279" s="90">
        <f>G279*AO279</f>
        <v>0</v>
      </c>
      <c r="K279" s="90">
        <f>G279*AP279</f>
        <v>0</v>
      </c>
      <c r="L279" s="90">
        <f>G279*H279</f>
        <v>0</v>
      </c>
      <c r="M279" s="90">
        <f>L279*(1+BW279/100)</f>
        <v>0</v>
      </c>
      <c r="N279" s="90">
        <v>2.5301300000000002</v>
      </c>
      <c r="O279" s="90">
        <f>G279*N279</f>
        <v>76.020285980000011</v>
      </c>
      <c r="P279" s="92" t="s">
        <v>64</v>
      </c>
      <c r="Z279" s="93">
        <f>IF(AQ279="5",BJ279,0)</f>
        <v>0</v>
      </c>
      <c r="AB279" s="93">
        <f>IF(AQ279="1",BH279,0)</f>
        <v>0</v>
      </c>
      <c r="AC279" s="93">
        <f>IF(AQ279="1",BI279,0)</f>
        <v>0</v>
      </c>
      <c r="AD279" s="93">
        <f>IF(AQ279="7",BH279,0)</f>
        <v>0</v>
      </c>
      <c r="AE279" s="93">
        <f>IF(AQ279="7",BI279,0)</f>
        <v>0</v>
      </c>
      <c r="AF279" s="93">
        <f>IF(AQ279="2",BH279,0)</f>
        <v>0</v>
      </c>
      <c r="AG279" s="93">
        <f>IF(AQ279="2",BI279,0)</f>
        <v>0</v>
      </c>
      <c r="AH279" s="93">
        <f>IF(AQ279="0",BJ279,0)</f>
        <v>0</v>
      </c>
      <c r="AI279" s="88" t="s">
        <v>55</v>
      </c>
      <c r="AJ279" s="93">
        <f>IF(AN279=0,L279,0)</f>
        <v>0</v>
      </c>
      <c r="AK279" s="93">
        <f>IF(AN279=12,L279,0)</f>
        <v>0</v>
      </c>
      <c r="AL279" s="93">
        <f>IF(AN279=21,L279,0)</f>
        <v>0</v>
      </c>
      <c r="AN279" s="93">
        <v>21</v>
      </c>
      <c r="AO279" s="93">
        <f>H279*0.863133268</f>
        <v>0</v>
      </c>
      <c r="AP279" s="93">
        <f>H279*(1-0.863133268)</f>
        <v>0</v>
      </c>
      <c r="AQ279" s="94" t="s">
        <v>59</v>
      </c>
      <c r="AV279" s="93">
        <f>AW279+AX279</f>
        <v>0</v>
      </c>
      <c r="AW279" s="93">
        <f>G279*AO279</f>
        <v>0</v>
      </c>
      <c r="AX279" s="93">
        <f>G279*AP279</f>
        <v>0</v>
      </c>
      <c r="AY279" s="94" t="s">
        <v>281</v>
      </c>
      <c r="AZ279" s="94" t="s">
        <v>282</v>
      </c>
      <c r="BA279" s="88" t="s">
        <v>67</v>
      </c>
      <c r="BC279" s="93">
        <f>AW279+AX279</f>
        <v>0</v>
      </c>
      <c r="BD279" s="93">
        <f>H279/(100-BE279)*100</f>
        <v>0</v>
      </c>
      <c r="BE279" s="93">
        <v>0</v>
      </c>
      <c r="BF279" s="93">
        <f>O279</f>
        <v>76.020285980000011</v>
      </c>
      <c r="BH279" s="93">
        <f>G279*AO279</f>
        <v>0</v>
      </c>
      <c r="BI279" s="93">
        <f>G279*AP279</f>
        <v>0</v>
      </c>
      <c r="BJ279" s="93">
        <f>G279*H279</f>
        <v>0</v>
      </c>
      <c r="BK279" s="93"/>
      <c r="BL279" s="93">
        <v>31</v>
      </c>
      <c r="BW279" s="93" t="str">
        <f>I279</f>
        <v>21</v>
      </c>
      <c r="BX279" s="2" t="s">
        <v>380</v>
      </c>
    </row>
    <row r="280" spans="1:76" s="81" customFormat="1" ht="38.25" x14ac:dyDescent="0.25">
      <c r="A280" s="110"/>
      <c r="B280" s="95"/>
      <c r="C280" s="95"/>
      <c r="D280" s="76" t="s">
        <v>54</v>
      </c>
      <c r="E280" s="76" t="s">
        <v>381</v>
      </c>
      <c r="F280" s="95"/>
      <c r="G280" s="96">
        <v>0</v>
      </c>
      <c r="H280" s="97"/>
      <c r="I280" s="95"/>
      <c r="J280" s="95"/>
      <c r="K280" s="95"/>
      <c r="L280" s="95"/>
      <c r="M280" s="95"/>
      <c r="N280" s="95"/>
      <c r="O280" s="95"/>
      <c r="P280" s="95"/>
    </row>
    <row r="281" spans="1:76" s="81" customFormat="1" x14ac:dyDescent="0.25">
      <c r="A281" s="110"/>
      <c r="B281" s="95"/>
      <c r="C281" s="95"/>
      <c r="D281" s="76" t="s">
        <v>382</v>
      </c>
      <c r="E281" s="76" t="s">
        <v>54</v>
      </c>
      <c r="F281" s="95"/>
      <c r="G281" s="96">
        <v>1.0660000000000001</v>
      </c>
      <c r="H281" s="97"/>
      <c r="I281" s="95"/>
      <c r="J281" s="95"/>
      <c r="K281" s="95"/>
      <c r="L281" s="95"/>
      <c r="M281" s="95"/>
      <c r="N281" s="95"/>
      <c r="O281" s="95"/>
      <c r="P281" s="95"/>
    </row>
    <row r="282" spans="1:76" s="81" customFormat="1" x14ac:dyDescent="0.25">
      <c r="A282" s="110"/>
      <c r="B282" s="95"/>
      <c r="C282" s="95"/>
      <c r="D282" s="76" t="s">
        <v>383</v>
      </c>
      <c r="E282" s="76" t="s">
        <v>54</v>
      </c>
      <c r="F282" s="95"/>
      <c r="G282" s="96">
        <v>10.0548</v>
      </c>
      <c r="H282" s="97"/>
      <c r="I282" s="95"/>
      <c r="J282" s="95"/>
      <c r="K282" s="95"/>
      <c r="L282" s="95"/>
      <c r="M282" s="95"/>
      <c r="N282" s="95"/>
      <c r="O282" s="95"/>
      <c r="P282" s="95"/>
    </row>
    <row r="283" spans="1:76" s="81" customFormat="1" x14ac:dyDescent="0.25">
      <c r="A283" s="110"/>
      <c r="B283" s="95"/>
      <c r="C283" s="95"/>
      <c r="D283" s="76" t="s">
        <v>384</v>
      </c>
      <c r="E283" s="76" t="s">
        <v>54</v>
      </c>
      <c r="F283" s="95"/>
      <c r="G283" s="96">
        <v>18.9252</v>
      </c>
      <c r="H283" s="97"/>
      <c r="I283" s="95"/>
      <c r="J283" s="95"/>
      <c r="K283" s="95"/>
      <c r="L283" s="95"/>
      <c r="M283" s="95"/>
      <c r="N283" s="95"/>
      <c r="O283" s="95"/>
      <c r="P283" s="95"/>
    </row>
    <row r="284" spans="1:76" s="81" customFormat="1" x14ac:dyDescent="0.25">
      <c r="A284" s="66" t="s">
        <v>385</v>
      </c>
      <c r="B284" s="72" t="s">
        <v>55</v>
      </c>
      <c r="C284" s="72" t="s">
        <v>386</v>
      </c>
      <c r="D284" s="174" t="s">
        <v>387</v>
      </c>
      <c r="E284" s="174"/>
      <c r="F284" s="72" t="s">
        <v>62</v>
      </c>
      <c r="G284" s="90">
        <v>48.676380000000002</v>
      </c>
      <c r="H284" s="91"/>
      <c r="I284" s="92" t="s">
        <v>63</v>
      </c>
      <c r="J284" s="90">
        <f>G284*AO284</f>
        <v>0</v>
      </c>
      <c r="K284" s="90">
        <f>G284*AP284</f>
        <v>0</v>
      </c>
      <c r="L284" s="90">
        <f>G284*H284</f>
        <v>0</v>
      </c>
      <c r="M284" s="90">
        <f>L284*(1+BW284/100)</f>
        <v>0</v>
      </c>
      <c r="N284" s="90">
        <v>2.5276700000000001</v>
      </c>
      <c r="O284" s="90">
        <f>G284*N284</f>
        <v>123.03782543460001</v>
      </c>
      <c r="P284" s="92" t="s">
        <v>64</v>
      </c>
      <c r="Z284" s="93">
        <f>IF(AQ284="5",BJ284,0)</f>
        <v>0</v>
      </c>
      <c r="AB284" s="93">
        <f>IF(AQ284="1",BH284,0)</f>
        <v>0</v>
      </c>
      <c r="AC284" s="93">
        <f>IF(AQ284="1",BI284,0)</f>
        <v>0</v>
      </c>
      <c r="AD284" s="93">
        <f>IF(AQ284="7",BH284,0)</f>
        <v>0</v>
      </c>
      <c r="AE284" s="93">
        <f>IF(AQ284="7",BI284,0)</f>
        <v>0</v>
      </c>
      <c r="AF284" s="93">
        <f>IF(AQ284="2",BH284,0)</f>
        <v>0</v>
      </c>
      <c r="AG284" s="93">
        <f>IF(AQ284="2",BI284,0)</f>
        <v>0</v>
      </c>
      <c r="AH284" s="93">
        <f>IF(AQ284="0",BJ284,0)</f>
        <v>0</v>
      </c>
      <c r="AI284" s="88" t="s">
        <v>55</v>
      </c>
      <c r="AJ284" s="93">
        <f>IF(AN284=0,L284,0)</f>
        <v>0</v>
      </c>
      <c r="AK284" s="93">
        <f>IF(AN284=12,L284,0)</f>
        <v>0</v>
      </c>
      <c r="AL284" s="93">
        <f>IF(AN284=21,L284,0)</f>
        <v>0</v>
      </c>
      <c r="AN284" s="93">
        <v>21</v>
      </c>
      <c r="AO284" s="93">
        <f>H284*0.869828584</f>
        <v>0</v>
      </c>
      <c r="AP284" s="93">
        <f>H284*(1-0.869828584)</f>
        <v>0</v>
      </c>
      <c r="AQ284" s="94" t="s">
        <v>59</v>
      </c>
      <c r="AV284" s="93">
        <f>AW284+AX284</f>
        <v>0</v>
      </c>
      <c r="AW284" s="93">
        <f>G284*AO284</f>
        <v>0</v>
      </c>
      <c r="AX284" s="93">
        <f>G284*AP284</f>
        <v>0</v>
      </c>
      <c r="AY284" s="94" t="s">
        <v>281</v>
      </c>
      <c r="AZ284" s="94" t="s">
        <v>282</v>
      </c>
      <c r="BA284" s="88" t="s">
        <v>67</v>
      </c>
      <c r="BC284" s="93">
        <f>AW284+AX284</f>
        <v>0</v>
      </c>
      <c r="BD284" s="93">
        <f>H284/(100-BE284)*100</f>
        <v>0</v>
      </c>
      <c r="BE284" s="93">
        <v>0</v>
      </c>
      <c r="BF284" s="93">
        <f>O284</f>
        <v>123.03782543460001</v>
      </c>
      <c r="BH284" s="93">
        <f>G284*AO284</f>
        <v>0</v>
      </c>
      <c r="BI284" s="93">
        <f>G284*AP284</f>
        <v>0</v>
      </c>
      <c r="BJ284" s="93">
        <f>G284*H284</f>
        <v>0</v>
      </c>
      <c r="BK284" s="93"/>
      <c r="BL284" s="93">
        <v>31</v>
      </c>
      <c r="BW284" s="93" t="str">
        <f>I284</f>
        <v>21</v>
      </c>
      <c r="BX284" s="2" t="s">
        <v>387</v>
      </c>
    </row>
    <row r="285" spans="1:76" s="81" customFormat="1" ht="13.5" customHeight="1" x14ac:dyDescent="0.25">
      <c r="A285" s="110"/>
      <c r="B285" s="95"/>
      <c r="C285" s="95"/>
      <c r="D285" s="179" t="s">
        <v>388</v>
      </c>
      <c r="E285" s="179"/>
      <c r="F285" s="179"/>
      <c r="G285" s="179"/>
      <c r="H285" s="179"/>
      <c r="I285" s="179"/>
      <c r="J285" s="179"/>
      <c r="K285" s="179"/>
      <c r="L285" s="179"/>
      <c r="M285" s="179"/>
      <c r="N285" s="179"/>
      <c r="O285" s="179"/>
      <c r="P285" s="179"/>
    </row>
    <row r="286" spans="1:76" s="81" customFormat="1" x14ac:dyDescent="0.25">
      <c r="A286" s="110"/>
      <c r="B286" s="95"/>
      <c r="C286" s="95"/>
      <c r="D286" s="76" t="s">
        <v>54</v>
      </c>
      <c r="E286" s="76" t="s">
        <v>228</v>
      </c>
      <c r="F286" s="95"/>
      <c r="G286" s="96">
        <v>0</v>
      </c>
      <c r="H286" s="97"/>
      <c r="I286" s="95"/>
      <c r="J286" s="95"/>
      <c r="K286" s="95"/>
      <c r="L286" s="95"/>
      <c r="M286" s="95"/>
      <c r="N286" s="95"/>
      <c r="O286" s="95"/>
      <c r="P286" s="95"/>
    </row>
    <row r="287" spans="1:76" s="81" customFormat="1" x14ac:dyDescent="0.25">
      <c r="A287" s="110"/>
      <c r="B287" s="95"/>
      <c r="C287" s="95"/>
      <c r="D287" s="76" t="s">
        <v>54</v>
      </c>
      <c r="E287" s="76" t="s">
        <v>389</v>
      </c>
      <c r="F287" s="95"/>
      <c r="G287" s="96">
        <v>0</v>
      </c>
      <c r="H287" s="97"/>
      <c r="I287" s="95"/>
      <c r="J287" s="95"/>
      <c r="K287" s="95"/>
      <c r="L287" s="95"/>
      <c r="M287" s="95"/>
      <c r="N287" s="95"/>
      <c r="O287" s="95"/>
      <c r="P287" s="95"/>
    </row>
    <row r="288" spans="1:76" s="81" customFormat="1" x14ac:dyDescent="0.25">
      <c r="A288" s="110"/>
      <c r="B288" s="95"/>
      <c r="C288" s="95"/>
      <c r="D288" s="76" t="s">
        <v>390</v>
      </c>
      <c r="E288" s="76" t="s">
        <v>54</v>
      </c>
      <c r="F288" s="95"/>
      <c r="G288" s="96">
        <v>6.2855999999999996</v>
      </c>
      <c r="H288" s="97"/>
      <c r="I288" s="95"/>
      <c r="J288" s="95"/>
      <c r="K288" s="95"/>
      <c r="L288" s="95"/>
      <c r="M288" s="95"/>
      <c r="N288" s="95"/>
      <c r="O288" s="95"/>
      <c r="P288" s="95"/>
    </row>
    <row r="289" spans="1:76" s="81" customFormat="1" x14ac:dyDescent="0.25">
      <c r="A289" s="110"/>
      <c r="B289" s="95"/>
      <c r="C289" s="95"/>
      <c r="D289" s="76" t="s">
        <v>391</v>
      </c>
      <c r="E289" s="76" t="s">
        <v>54</v>
      </c>
      <c r="F289" s="95"/>
      <c r="G289" s="96">
        <v>6.48698</v>
      </c>
      <c r="H289" s="97"/>
      <c r="I289" s="95"/>
      <c r="J289" s="95"/>
      <c r="K289" s="95"/>
      <c r="L289" s="95"/>
      <c r="M289" s="95"/>
      <c r="N289" s="95"/>
      <c r="O289" s="95"/>
      <c r="P289" s="95"/>
    </row>
    <row r="290" spans="1:76" s="81" customFormat="1" x14ac:dyDescent="0.25">
      <c r="A290" s="110"/>
      <c r="B290" s="95"/>
      <c r="C290" s="95"/>
      <c r="D290" s="76" t="s">
        <v>392</v>
      </c>
      <c r="E290" s="76" t="s">
        <v>54</v>
      </c>
      <c r="F290" s="95"/>
      <c r="G290" s="96">
        <v>4.3079999999999998</v>
      </c>
      <c r="H290" s="97"/>
      <c r="I290" s="95"/>
      <c r="J290" s="95"/>
      <c r="K290" s="95"/>
      <c r="L290" s="95"/>
      <c r="M290" s="95"/>
      <c r="N290" s="95"/>
      <c r="O290" s="95"/>
      <c r="P290" s="95"/>
    </row>
    <row r="291" spans="1:76" s="81" customFormat="1" x14ac:dyDescent="0.25">
      <c r="A291" s="110"/>
      <c r="B291" s="95"/>
      <c r="C291" s="95"/>
      <c r="D291" s="76" t="s">
        <v>393</v>
      </c>
      <c r="E291" s="76" t="s">
        <v>54</v>
      </c>
      <c r="F291" s="95"/>
      <c r="G291" s="96">
        <v>0.57499999999999996</v>
      </c>
      <c r="H291" s="97"/>
      <c r="I291" s="95"/>
      <c r="J291" s="95"/>
      <c r="K291" s="95"/>
      <c r="L291" s="95"/>
      <c r="M291" s="95"/>
      <c r="N291" s="95"/>
      <c r="O291" s="95"/>
      <c r="P291" s="95"/>
    </row>
    <row r="292" spans="1:76" s="81" customFormat="1" x14ac:dyDescent="0.25">
      <c r="A292" s="110"/>
      <c r="B292" s="95"/>
      <c r="C292" s="95"/>
      <c r="D292" s="76" t="s">
        <v>394</v>
      </c>
      <c r="E292" s="76" t="s">
        <v>54</v>
      </c>
      <c r="F292" s="95"/>
      <c r="G292" s="96">
        <v>7.6950000000000003</v>
      </c>
      <c r="H292" s="97"/>
      <c r="I292" s="95"/>
      <c r="J292" s="95"/>
      <c r="K292" s="95"/>
      <c r="L292" s="95"/>
      <c r="M292" s="95"/>
      <c r="N292" s="95"/>
      <c r="O292" s="95"/>
      <c r="P292" s="95"/>
    </row>
    <row r="293" spans="1:76" s="81" customFormat="1" x14ac:dyDescent="0.25">
      <c r="A293" s="110"/>
      <c r="B293" s="95"/>
      <c r="C293" s="95"/>
      <c r="D293" s="76" t="s">
        <v>395</v>
      </c>
      <c r="E293" s="76" t="s">
        <v>54</v>
      </c>
      <c r="F293" s="95"/>
      <c r="G293" s="96">
        <v>13.545</v>
      </c>
      <c r="H293" s="97"/>
      <c r="I293" s="95"/>
      <c r="J293" s="95"/>
      <c r="K293" s="95"/>
      <c r="L293" s="95"/>
      <c r="M293" s="95"/>
      <c r="N293" s="95"/>
      <c r="O293" s="95"/>
      <c r="P293" s="95"/>
    </row>
    <row r="294" spans="1:76" s="81" customFormat="1" x14ac:dyDescent="0.25">
      <c r="A294" s="110"/>
      <c r="B294" s="95"/>
      <c r="C294" s="95"/>
      <c r="D294" s="76" t="s">
        <v>54</v>
      </c>
      <c r="E294" s="76" t="s">
        <v>396</v>
      </c>
      <c r="F294" s="95"/>
      <c r="G294" s="96">
        <v>0</v>
      </c>
      <c r="H294" s="97"/>
      <c r="I294" s="95"/>
      <c r="J294" s="95"/>
      <c r="K294" s="95"/>
      <c r="L294" s="95"/>
      <c r="M294" s="95"/>
      <c r="N294" s="95"/>
      <c r="O294" s="95"/>
      <c r="P294" s="95"/>
    </row>
    <row r="295" spans="1:76" s="81" customFormat="1" x14ac:dyDescent="0.25">
      <c r="A295" s="110"/>
      <c r="B295" s="95"/>
      <c r="C295" s="95"/>
      <c r="D295" s="76" t="s">
        <v>397</v>
      </c>
      <c r="E295" s="76" t="s">
        <v>54</v>
      </c>
      <c r="F295" s="95"/>
      <c r="G295" s="96">
        <v>4.0704000000000002</v>
      </c>
      <c r="H295" s="97"/>
      <c r="I295" s="95"/>
      <c r="J295" s="95"/>
      <c r="K295" s="95"/>
      <c r="L295" s="95"/>
      <c r="M295" s="95"/>
      <c r="N295" s="95"/>
      <c r="O295" s="95"/>
      <c r="P295" s="95"/>
    </row>
    <row r="296" spans="1:76" s="81" customFormat="1" x14ac:dyDescent="0.25">
      <c r="A296" s="110"/>
      <c r="B296" s="95"/>
      <c r="C296" s="95"/>
      <c r="D296" s="76" t="s">
        <v>398</v>
      </c>
      <c r="E296" s="76" t="s">
        <v>54</v>
      </c>
      <c r="F296" s="95"/>
      <c r="G296" s="96">
        <v>4.2744</v>
      </c>
      <c r="H296" s="97"/>
      <c r="I296" s="95"/>
      <c r="J296" s="95"/>
      <c r="K296" s="95"/>
      <c r="L296" s="95"/>
      <c r="M296" s="95"/>
      <c r="N296" s="95"/>
      <c r="O296" s="95"/>
      <c r="P296" s="95"/>
    </row>
    <row r="297" spans="1:76" s="81" customFormat="1" x14ac:dyDescent="0.25">
      <c r="A297" s="110"/>
      <c r="B297" s="95"/>
      <c r="C297" s="95"/>
      <c r="D297" s="76" t="s">
        <v>399</v>
      </c>
      <c r="E297" s="76" t="s">
        <v>54</v>
      </c>
      <c r="F297" s="95"/>
      <c r="G297" s="96">
        <v>1.4359999999999999</v>
      </c>
      <c r="H297" s="97"/>
      <c r="I297" s="95"/>
      <c r="J297" s="95"/>
      <c r="K297" s="95"/>
      <c r="L297" s="95"/>
      <c r="M297" s="95"/>
      <c r="N297" s="95"/>
      <c r="O297" s="95"/>
      <c r="P297" s="95"/>
    </row>
    <row r="298" spans="1:76" s="81" customFormat="1" x14ac:dyDescent="0.25">
      <c r="A298" s="66" t="s">
        <v>400</v>
      </c>
      <c r="B298" s="72" t="s">
        <v>55</v>
      </c>
      <c r="C298" s="72" t="s">
        <v>386</v>
      </c>
      <c r="D298" s="174" t="s">
        <v>401</v>
      </c>
      <c r="E298" s="174"/>
      <c r="F298" s="72" t="s">
        <v>62</v>
      </c>
      <c r="G298" s="90">
        <v>115.55529</v>
      </c>
      <c r="H298" s="91"/>
      <c r="I298" s="92" t="s">
        <v>63</v>
      </c>
      <c r="J298" s="90">
        <f>G298*AO298</f>
        <v>0</v>
      </c>
      <c r="K298" s="90">
        <f>G298*AP298</f>
        <v>0</v>
      </c>
      <c r="L298" s="90">
        <f>G298*H298</f>
        <v>0</v>
      </c>
      <c r="M298" s="90">
        <f>L298*(1+BW298/100)</f>
        <v>0</v>
      </c>
      <c r="N298" s="90">
        <v>2.5276700000000001</v>
      </c>
      <c r="O298" s="90">
        <f>G298*N298</f>
        <v>292.0856398743</v>
      </c>
      <c r="P298" s="92" t="s">
        <v>64</v>
      </c>
      <c r="Z298" s="93">
        <f>IF(AQ298="5",BJ298,0)</f>
        <v>0</v>
      </c>
      <c r="AB298" s="93">
        <f>IF(AQ298="1",BH298,0)</f>
        <v>0</v>
      </c>
      <c r="AC298" s="93">
        <f>IF(AQ298="1",BI298,0)</f>
        <v>0</v>
      </c>
      <c r="AD298" s="93">
        <f>IF(AQ298="7",BH298,0)</f>
        <v>0</v>
      </c>
      <c r="AE298" s="93">
        <f>IF(AQ298="7",BI298,0)</f>
        <v>0</v>
      </c>
      <c r="AF298" s="93">
        <f>IF(AQ298="2",BH298,0)</f>
        <v>0</v>
      </c>
      <c r="AG298" s="93">
        <f>IF(AQ298="2",BI298,0)</f>
        <v>0</v>
      </c>
      <c r="AH298" s="93">
        <f>IF(AQ298="0",BJ298,0)</f>
        <v>0</v>
      </c>
      <c r="AI298" s="88" t="s">
        <v>55</v>
      </c>
      <c r="AJ298" s="93">
        <f>IF(AN298=0,L298,0)</f>
        <v>0</v>
      </c>
      <c r="AK298" s="93">
        <f>IF(AN298=12,L298,0)</f>
        <v>0</v>
      </c>
      <c r="AL298" s="93">
        <f>IF(AN298=21,L298,0)</f>
        <v>0</v>
      </c>
      <c r="AN298" s="93">
        <v>21</v>
      </c>
      <c r="AO298" s="93">
        <f>H298*0.869828599</f>
        <v>0</v>
      </c>
      <c r="AP298" s="93">
        <f>H298*(1-0.869828599)</f>
        <v>0</v>
      </c>
      <c r="AQ298" s="94" t="s">
        <v>59</v>
      </c>
      <c r="AV298" s="93">
        <f>AW298+AX298</f>
        <v>0</v>
      </c>
      <c r="AW298" s="93">
        <f>G298*AO298</f>
        <v>0</v>
      </c>
      <c r="AX298" s="93">
        <f>G298*AP298</f>
        <v>0</v>
      </c>
      <c r="AY298" s="94" t="s">
        <v>281</v>
      </c>
      <c r="AZ298" s="94" t="s">
        <v>282</v>
      </c>
      <c r="BA298" s="88" t="s">
        <v>67</v>
      </c>
      <c r="BC298" s="93">
        <f>AW298+AX298</f>
        <v>0</v>
      </c>
      <c r="BD298" s="93">
        <f>H298/(100-BE298)*100</f>
        <v>0</v>
      </c>
      <c r="BE298" s="93">
        <v>0</v>
      </c>
      <c r="BF298" s="93">
        <f>O298</f>
        <v>292.0856398743</v>
      </c>
      <c r="BH298" s="93">
        <f>G298*AO298</f>
        <v>0</v>
      </c>
      <c r="BI298" s="93">
        <f>G298*AP298</f>
        <v>0</v>
      </c>
      <c r="BJ298" s="93">
        <f>G298*H298</f>
        <v>0</v>
      </c>
      <c r="BK298" s="93"/>
      <c r="BL298" s="93">
        <v>31</v>
      </c>
      <c r="BW298" s="93" t="str">
        <f>I298</f>
        <v>21</v>
      </c>
      <c r="BX298" s="2" t="s">
        <v>401</v>
      </c>
    </row>
    <row r="299" spans="1:76" s="81" customFormat="1" x14ac:dyDescent="0.25">
      <c r="A299" s="110"/>
      <c r="B299" s="95"/>
      <c r="C299" s="95"/>
      <c r="D299" s="76" t="s">
        <v>54</v>
      </c>
      <c r="E299" s="76" t="s">
        <v>402</v>
      </c>
      <c r="F299" s="95"/>
      <c r="G299" s="96">
        <v>0</v>
      </c>
      <c r="H299" s="97"/>
      <c r="I299" s="95"/>
      <c r="J299" s="95"/>
      <c r="K299" s="95"/>
      <c r="L299" s="95"/>
      <c r="M299" s="95"/>
      <c r="N299" s="95"/>
      <c r="O299" s="95"/>
      <c r="P299" s="95"/>
    </row>
    <row r="300" spans="1:76" s="81" customFormat="1" ht="25.5" x14ac:dyDescent="0.25">
      <c r="A300" s="110"/>
      <c r="B300" s="95"/>
      <c r="C300" s="95"/>
      <c r="D300" s="76" t="s">
        <v>403</v>
      </c>
      <c r="E300" s="76" t="s">
        <v>54</v>
      </c>
      <c r="F300" s="95"/>
      <c r="G300" s="96">
        <v>68.349689999999995</v>
      </c>
      <c r="H300" s="97"/>
      <c r="I300" s="95"/>
      <c r="J300" s="95"/>
      <c r="K300" s="95"/>
      <c r="L300" s="95"/>
      <c r="M300" s="95"/>
      <c r="N300" s="95"/>
      <c r="O300" s="95"/>
      <c r="P300" s="95"/>
    </row>
    <row r="301" spans="1:76" s="81" customFormat="1" x14ac:dyDescent="0.25">
      <c r="A301" s="110"/>
      <c r="B301" s="95"/>
      <c r="C301" s="95"/>
      <c r="D301" s="76" t="s">
        <v>404</v>
      </c>
      <c r="E301" s="76" t="s">
        <v>54</v>
      </c>
      <c r="F301" s="95"/>
      <c r="G301" s="96">
        <v>13.83525</v>
      </c>
      <c r="H301" s="97"/>
      <c r="I301" s="95"/>
      <c r="J301" s="95"/>
      <c r="K301" s="95"/>
      <c r="L301" s="95"/>
      <c r="M301" s="95"/>
      <c r="N301" s="95"/>
      <c r="O301" s="95"/>
      <c r="P301" s="95"/>
    </row>
    <row r="302" spans="1:76" s="81" customFormat="1" x14ac:dyDescent="0.25">
      <c r="A302" s="110"/>
      <c r="B302" s="95"/>
      <c r="C302" s="95"/>
      <c r="D302" s="76" t="s">
        <v>405</v>
      </c>
      <c r="E302" s="76" t="s">
        <v>54</v>
      </c>
      <c r="F302" s="95"/>
      <c r="G302" s="96">
        <v>19.691099999999999</v>
      </c>
      <c r="H302" s="97"/>
      <c r="I302" s="95"/>
      <c r="J302" s="95"/>
      <c r="K302" s="95"/>
      <c r="L302" s="95"/>
      <c r="M302" s="95"/>
      <c r="N302" s="95"/>
      <c r="O302" s="95"/>
      <c r="P302" s="95"/>
    </row>
    <row r="303" spans="1:76" s="81" customFormat="1" x14ac:dyDescent="0.25">
      <c r="A303" s="110"/>
      <c r="B303" s="95"/>
      <c r="C303" s="95"/>
      <c r="D303" s="76" t="s">
        <v>406</v>
      </c>
      <c r="E303" s="76" t="s">
        <v>54</v>
      </c>
      <c r="F303" s="95"/>
      <c r="G303" s="96">
        <v>4.69794</v>
      </c>
      <c r="H303" s="97"/>
      <c r="I303" s="95"/>
      <c r="J303" s="95"/>
      <c r="K303" s="95"/>
      <c r="L303" s="95"/>
      <c r="M303" s="95"/>
      <c r="N303" s="95"/>
      <c r="O303" s="95"/>
      <c r="P303" s="95"/>
    </row>
    <row r="304" spans="1:76" s="81" customFormat="1" x14ac:dyDescent="0.25">
      <c r="A304" s="110"/>
      <c r="B304" s="95"/>
      <c r="C304" s="95"/>
      <c r="D304" s="76" t="s">
        <v>407</v>
      </c>
      <c r="E304" s="76" t="s">
        <v>54</v>
      </c>
      <c r="F304" s="95"/>
      <c r="G304" s="96">
        <v>0.50219999999999998</v>
      </c>
      <c r="H304" s="97"/>
      <c r="I304" s="95"/>
      <c r="J304" s="95"/>
      <c r="K304" s="95"/>
      <c r="L304" s="95"/>
      <c r="M304" s="95"/>
      <c r="N304" s="95"/>
      <c r="O304" s="95"/>
      <c r="P304" s="95"/>
    </row>
    <row r="305" spans="1:76" s="81" customFormat="1" x14ac:dyDescent="0.25">
      <c r="A305" s="110"/>
      <c r="B305" s="95"/>
      <c r="C305" s="95"/>
      <c r="D305" s="76" t="s">
        <v>408</v>
      </c>
      <c r="E305" s="76" t="s">
        <v>54</v>
      </c>
      <c r="F305" s="95"/>
      <c r="G305" s="96">
        <v>2.29433</v>
      </c>
      <c r="H305" s="97"/>
      <c r="I305" s="95"/>
      <c r="J305" s="95"/>
      <c r="K305" s="95"/>
      <c r="L305" s="95"/>
      <c r="M305" s="95"/>
      <c r="N305" s="95"/>
      <c r="O305" s="95"/>
      <c r="P305" s="95"/>
    </row>
    <row r="306" spans="1:76" s="81" customFormat="1" x14ac:dyDescent="0.25">
      <c r="A306" s="110"/>
      <c r="B306" s="95"/>
      <c r="C306" s="95"/>
      <c r="D306" s="76" t="s">
        <v>409</v>
      </c>
      <c r="E306" s="76" t="s">
        <v>54</v>
      </c>
      <c r="F306" s="95"/>
      <c r="G306" s="96">
        <v>8.3996999999999993</v>
      </c>
      <c r="H306" s="97"/>
      <c r="I306" s="95"/>
      <c r="J306" s="95"/>
      <c r="K306" s="95"/>
      <c r="L306" s="95"/>
      <c r="M306" s="95"/>
      <c r="N306" s="95"/>
      <c r="O306" s="95"/>
      <c r="P306" s="95"/>
    </row>
    <row r="307" spans="1:76" s="81" customFormat="1" x14ac:dyDescent="0.25">
      <c r="A307" s="110"/>
      <c r="B307" s="95"/>
      <c r="C307" s="95"/>
      <c r="D307" s="76" t="s">
        <v>410</v>
      </c>
      <c r="E307" s="76" t="s">
        <v>54</v>
      </c>
      <c r="F307" s="95"/>
      <c r="G307" s="96">
        <v>3.8696799999999998</v>
      </c>
      <c r="H307" s="97"/>
      <c r="I307" s="95"/>
      <c r="J307" s="95"/>
      <c r="K307" s="95"/>
      <c r="L307" s="95"/>
      <c r="M307" s="95"/>
      <c r="N307" s="95"/>
      <c r="O307" s="95"/>
      <c r="P307" s="95"/>
    </row>
    <row r="308" spans="1:76" s="81" customFormat="1" ht="38.25" x14ac:dyDescent="0.25">
      <c r="A308" s="110"/>
      <c r="B308" s="95"/>
      <c r="C308" s="95"/>
      <c r="D308" s="76" t="s">
        <v>411</v>
      </c>
      <c r="E308" s="76" t="s">
        <v>54</v>
      </c>
      <c r="F308" s="95"/>
      <c r="G308" s="96">
        <v>-6.0846</v>
      </c>
      <c r="H308" s="97"/>
      <c r="I308" s="95"/>
      <c r="J308" s="95"/>
      <c r="K308" s="95"/>
      <c r="L308" s="95"/>
      <c r="M308" s="95"/>
      <c r="N308" s="95"/>
      <c r="O308" s="95"/>
      <c r="P308" s="95"/>
    </row>
    <row r="309" spans="1:76" s="81" customFormat="1" x14ac:dyDescent="0.25">
      <c r="A309" s="66" t="s">
        <v>412</v>
      </c>
      <c r="B309" s="72" t="s">
        <v>55</v>
      </c>
      <c r="C309" s="72" t="s">
        <v>413</v>
      </c>
      <c r="D309" s="174" t="s">
        <v>414</v>
      </c>
      <c r="E309" s="174"/>
      <c r="F309" s="72" t="s">
        <v>192</v>
      </c>
      <c r="G309" s="90">
        <v>1101.5995499999999</v>
      </c>
      <c r="H309" s="91"/>
      <c r="I309" s="92" t="s">
        <v>63</v>
      </c>
      <c r="J309" s="90">
        <f>G309*AO309</f>
        <v>0</v>
      </c>
      <c r="K309" s="90">
        <f>G309*AP309</f>
        <v>0</v>
      </c>
      <c r="L309" s="90">
        <f>G309*H309</f>
        <v>0</v>
      </c>
      <c r="M309" s="90">
        <f>L309*(1+BW309/100)</f>
        <v>0</v>
      </c>
      <c r="N309" s="90">
        <v>3.9309999999999998E-2</v>
      </c>
      <c r="O309" s="90">
        <f>G309*N309</f>
        <v>43.303878310499996</v>
      </c>
      <c r="P309" s="92" t="s">
        <v>64</v>
      </c>
      <c r="Z309" s="93">
        <f>IF(AQ309="5",BJ309,0)</f>
        <v>0</v>
      </c>
      <c r="AB309" s="93">
        <f>IF(AQ309="1",BH309,0)</f>
        <v>0</v>
      </c>
      <c r="AC309" s="93">
        <f>IF(AQ309="1",BI309,0)</f>
        <v>0</v>
      </c>
      <c r="AD309" s="93">
        <f>IF(AQ309="7",BH309,0)</f>
        <v>0</v>
      </c>
      <c r="AE309" s="93">
        <f>IF(AQ309="7",BI309,0)</f>
        <v>0</v>
      </c>
      <c r="AF309" s="93">
        <f>IF(AQ309="2",BH309,0)</f>
        <v>0</v>
      </c>
      <c r="AG309" s="93">
        <f>IF(AQ309="2",BI309,0)</f>
        <v>0</v>
      </c>
      <c r="AH309" s="93">
        <f>IF(AQ309="0",BJ309,0)</f>
        <v>0</v>
      </c>
      <c r="AI309" s="88" t="s">
        <v>55</v>
      </c>
      <c r="AJ309" s="93">
        <f>IF(AN309=0,L309,0)</f>
        <v>0</v>
      </c>
      <c r="AK309" s="93">
        <f>IF(AN309=12,L309,0)</f>
        <v>0</v>
      </c>
      <c r="AL309" s="93">
        <f>IF(AN309=21,L309,0)</f>
        <v>0</v>
      </c>
      <c r="AN309" s="93">
        <v>21</v>
      </c>
      <c r="AO309" s="93">
        <f>H309*0.366314283</f>
        <v>0</v>
      </c>
      <c r="AP309" s="93">
        <f>H309*(1-0.366314283)</f>
        <v>0</v>
      </c>
      <c r="AQ309" s="94" t="s">
        <v>59</v>
      </c>
      <c r="AV309" s="93">
        <f>AW309+AX309</f>
        <v>0</v>
      </c>
      <c r="AW309" s="93">
        <f>G309*AO309</f>
        <v>0</v>
      </c>
      <c r="AX309" s="93">
        <f>G309*AP309</f>
        <v>0</v>
      </c>
      <c r="AY309" s="94" t="s">
        <v>281</v>
      </c>
      <c r="AZ309" s="94" t="s">
        <v>282</v>
      </c>
      <c r="BA309" s="88" t="s">
        <v>67</v>
      </c>
      <c r="BC309" s="93">
        <f>AW309+AX309</f>
        <v>0</v>
      </c>
      <c r="BD309" s="93">
        <f>H309/(100-BE309)*100</f>
        <v>0</v>
      </c>
      <c r="BE309" s="93">
        <v>0</v>
      </c>
      <c r="BF309" s="93">
        <f>O309</f>
        <v>43.303878310499996</v>
      </c>
      <c r="BH309" s="93">
        <f>G309*AO309</f>
        <v>0</v>
      </c>
      <c r="BI309" s="93">
        <f>G309*AP309</f>
        <v>0</v>
      </c>
      <c r="BJ309" s="93">
        <f>G309*H309</f>
        <v>0</v>
      </c>
      <c r="BK309" s="93"/>
      <c r="BL309" s="93">
        <v>31</v>
      </c>
      <c r="BW309" s="93" t="str">
        <f>I309</f>
        <v>21</v>
      </c>
      <c r="BX309" s="2" t="s">
        <v>414</v>
      </c>
    </row>
    <row r="310" spans="1:76" s="81" customFormat="1" ht="38.25" x14ac:dyDescent="0.25">
      <c r="A310" s="110"/>
      <c r="B310" s="95"/>
      <c r="C310" s="95"/>
      <c r="D310" s="76" t="s">
        <v>54</v>
      </c>
      <c r="E310" s="76" t="s">
        <v>381</v>
      </c>
      <c r="F310" s="95"/>
      <c r="G310" s="96">
        <v>0</v>
      </c>
      <c r="H310" s="97"/>
      <c r="I310" s="95"/>
      <c r="J310" s="95"/>
      <c r="K310" s="95"/>
      <c r="L310" s="95"/>
      <c r="M310" s="95"/>
      <c r="N310" s="95"/>
      <c r="O310" s="95"/>
      <c r="P310" s="95"/>
    </row>
    <row r="311" spans="1:76" s="81" customFormat="1" x14ac:dyDescent="0.25">
      <c r="A311" s="110"/>
      <c r="B311" s="95"/>
      <c r="C311" s="95"/>
      <c r="D311" s="76" t="s">
        <v>415</v>
      </c>
      <c r="E311" s="76" t="s">
        <v>54</v>
      </c>
      <c r="F311" s="95"/>
      <c r="G311" s="96">
        <v>6.97</v>
      </c>
      <c r="H311" s="97"/>
      <c r="I311" s="95"/>
      <c r="J311" s="95"/>
      <c r="K311" s="95"/>
      <c r="L311" s="95"/>
      <c r="M311" s="95"/>
      <c r="N311" s="95"/>
      <c r="O311" s="95"/>
      <c r="P311" s="95"/>
    </row>
    <row r="312" spans="1:76" s="81" customFormat="1" x14ac:dyDescent="0.25">
      <c r="A312" s="110"/>
      <c r="B312" s="95"/>
      <c r="C312" s="95"/>
      <c r="D312" s="76" t="s">
        <v>416</v>
      </c>
      <c r="E312" s="76" t="s">
        <v>54</v>
      </c>
      <c r="F312" s="95"/>
      <c r="G312" s="96">
        <v>51.841999999999999</v>
      </c>
      <c r="H312" s="97"/>
      <c r="I312" s="95"/>
      <c r="J312" s="95"/>
      <c r="K312" s="95"/>
      <c r="L312" s="95"/>
      <c r="M312" s="95"/>
      <c r="N312" s="95"/>
      <c r="O312" s="95"/>
      <c r="P312" s="95"/>
    </row>
    <row r="313" spans="1:76" s="81" customFormat="1" x14ac:dyDescent="0.25">
      <c r="A313" s="110"/>
      <c r="B313" s="95"/>
      <c r="C313" s="95"/>
      <c r="D313" s="76" t="s">
        <v>417</v>
      </c>
      <c r="E313" s="76" t="s">
        <v>54</v>
      </c>
      <c r="F313" s="95"/>
      <c r="G313" s="96">
        <v>96.305999999999997</v>
      </c>
      <c r="H313" s="97"/>
      <c r="I313" s="95"/>
      <c r="J313" s="95"/>
      <c r="K313" s="95"/>
      <c r="L313" s="95"/>
      <c r="M313" s="95"/>
      <c r="N313" s="95"/>
      <c r="O313" s="95"/>
      <c r="P313" s="95"/>
    </row>
    <row r="314" spans="1:76" s="81" customFormat="1" x14ac:dyDescent="0.25">
      <c r="A314" s="110"/>
      <c r="B314" s="95"/>
      <c r="C314" s="95"/>
      <c r="D314" s="76" t="s">
        <v>54</v>
      </c>
      <c r="E314" s="76" t="s">
        <v>228</v>
      </c>
      <c r="F314" s="95"/>
      <c r="G314" s="96">
        <v>0</v>
      </c>
      <c r="H314" s="97"/>
      <c r="I314" s="95"/>
      <c r="J314" s="95"/>
      <c r="K314" s="95"/>
      <c r="L314" s="95"/>
      <c r="M314" s="95"/>
      <c r="N314" s="95"/>
      <c r="O314" s="95"/>
      <c r="P314" s="95"/>
    </row>
    <row r="315" spans="1:76" s="81" customFormat="1" x14ac:dyDescent="0.25">
      <c r="A315" s="110"/>
      <c r="B315" s="95"/>
      <c r="C315" s="95"/>
      <c r="D315" s="76" t="s">
        <v>54</v>
      </c>
      <c r="E315" s="76" t="s">
        <v>389</v>
      </c>
      <c r="F315" s="95"/>
      <c r="G315" s="96">
        <v>0</v>
      </c>
      <c r="H315" s="97"/>
      <c r="I315" s="95"/>
      <c r="J315" s="95"/>
      <c r="K315" s="95"/>
      <c r="L315" s="95"/>
      <c r="M315" s="95"/>
      <c r="N315" s="95"/>
      <c r="O315" s="95"/>
      <c r="P315" s="95"/>
    </row>
    <row r="316" spans="1:76" s="81" customFormat="1" x14ac:dyDescent="0.25">
      <c r="A316" s="110"/>
      <c r="B316" s="95"/>
      <c r="C316" s="95"/>
      <c r="D316" s="76" t="s">
        <v>418</v>
      </c>
      <c r="E316" s="76" t="s">
        <v>54</v>
      </c>
      <c r="F316" s="95"/>
      <c r="G316" s="96">
        <v>11.916</v>
      </c>
      <c r="H316" s="97"/>
      <c r="I316" s="95"/>
      <c r="J316" s="95"/>
      <c r="K316" s="95"/>
      <c r="L316" s="95"/>
      <c r="M316" s="95"/>
      <c r="N316" s="95"/>
      <c r="O316" s="95"/>
      <c r="P316" s="95"/>
    </row>
    <row r="317" spans="1:76" s="81" customFormat="1" x14ac:dyDescent="0.25">
      <c r="A317" s="110"/>
      <c r="B317" s="95"/>
      <c r="C317" s="95"/>
      <c r="D317" s="76" t="s">
        <v>419</v>
      </c>
      <c r="E317" s="76" t="s">
        <v>54</v>
      </c>
      <c r="F317" s="95"/>
      <c r="G317" s="96">
        <v>12.867000000000001</v>
      </c>
      <c r="H317" s="97"/>
      <c r="I317" s="95"/>
      <c r="J317" s="95"/>
      <c r="K317" s="95"/>
      <c r="L317" s="95"/>
      <c r="M317" s="95"/>
      <c r="N317" s="95"/>
      <c r="O317" s="95"/>
      <c r="P317" s="95"/>
    </row>
    <row r="318" spans="1:76" s="81" customFormat="1" x14ac:dyDescent="0.25">
      <c r="A318" s="110"/>
      <c r="B318" s="95"/>
      <c r="C318" s="95"/>
      <c r="D318" s="76" t="s">
        <v>420</v>
      </c>
      <c r="E318" s="76" t="s">
        <v>54</v>
      </c>
      <c r="F318" s="95"/>
      <c r="G318" s="96">
        <v>5.508</v>
      </c>
      <c r="H318" s="97"/>
      <c r="I318" s="95"/>
      <c r="J318" s="95"/>
      <c r="K318" s="95"/>
      <c r="L318" s="95"/>
      <c r="M318" s="95"/>
      <c r="N318" s="95"/>
      <c r="O318" s="95"/>
      <c r="P318" s="95"/>
    </row>
    <row r="319" spans="1:76" s="81" customFormat="1" x14ac:dyDescent="0.25">
      <c r="A319" s="110"/>
      <c r="B319" s="95"/>
      <c r="C319" s="95"/>
      <c r="D319" s="76" t="s">
        <v>421</v>
      </c>
      <c r="E319" s="76" t="s">
        <v>54</v>
      </c>
      <c r="F319" s="95"/>
      <c r="G319" s="96">
        <v>1.4950000000000001</v>
      </c>
      <c r="H319" s="97"/>
      <c r="I319" s="95"/>
      <c r="J319" s="95"/>
      <c r="K319" s="95"/>
      <c r="L319" s="95"/>
      <c r="M319" s="95"/>
      <c r="N319" s="95"/>
      <c r="O319" s="95"/>
      <c r="P319" s="95"/>
    </row>
    <row r="320" spans="1:76" s="81" customFormat="1" x14ac:dyDescent="0.25">
      <c r="A320" s="110"/>
      <c r="B320" s="95"/>
      <c r="C320" s="95"/>
      <c r="D320" s="76" t="s">
        <v>422</v>
      </c>
      <c r="E320" s="76" t="s">
        <v>54</v>
      </c>
      <c r="F320" s="95"/>
      <c r="G320" s="96">
        <v>8.8949999999999996</v>
      </c>
      <c r="H320" s="97"/>
      <c r="I320" s="95"/>
      <c r="J320" s="95"/>
      <c r="K320" s="95"/>
      <c r="L320" s="95"/>
      <c r="M320" s="95"/>
      <c r="N320" s="95"/>
      <c r="O320" s="95"/>
      <c r="P320" s="95"/>
    </row>
    <row r="321" spans="1:76" s="81" customFormat="1" x14ac:dyDescent="0.25">
      <c r="A321" s="110"/>
      <c r="B321" s="95"/>
      <c r="C321" s="95"/>
      <c r="D321" s="76" t="s">
        <v>423</v>
      </c>
      <c r="E321" s="76" t="s">
        <v>54</v>
      </c>
      <c r="F321" s="95"/>
      <c r="G321" s="96">
        <v>15.945</v>
      </c>
      <c r="H321" s="97"/>
      <c r="I321" s="95"/>
      <c r="J321" s="95"/>
      <c r="K321" s="95"/>
      <c r="L321" s="95"/>
      <c r="M321" s="95"/>
      <c r="N321" s="95"/>
      <c r="O321" s="95"/>
      <c r="P321" s="95"/>
    </row>
    <row r="322" spans="1:76" s="81" customFormat="1" x14ac:dyDescent="0.25">
      <c r="A322" s="110"/>
      <c r="B322" s="95"/>
      <c r="C322" s="95"/>
      <c r="D322" s="76" t="s">
        <v>54</v>
      </c>
      <c r="E322" s="76" t="s">
        <v>396</v>
      </c>
      <c r="F322" s="95"/>
      <c r="G322" s="96">
        <v>0</v>
      </c>
      <c r="H322" s="97"/>
      <c r="I322" s="95"/>
      <c r="J322" s="95"/>
      <c r="K322" s="95"/>
      <c r="L322" s="95"/>
      <c r="M322" s="95"/>
      <c r="N322" s="95"/>
      <c r="O322" s="95"/>
      <c r="P322" s="95"/>
    </row>
    <row r="323" spans="1:76" s="81" customFormat="1" x14ac:dyDescent="0.25">
      <c r="A323" s="110"/>
      <c r="B323" s="95"/>
      <c r="C323" s="95"/>
      <c r="D323" s="76" t="s">
        <v>424</v>
      </c>
      <c r="E323" s="76" t="s">
        <v>54</v>
      </c>
      <c r="F323" s="95"/>
      <c r="G323" s="96">
        <v>20.832000000000001</v>
      </c>
      <c r="H323" s="97"/>
      <c r="I323" s="95"/>
      <c r="J323" s="95"/>
      <c r="K323" s="95"/>
      <c r="L323" s="95"/>
      <c r="M323" s="95"/>
      <c r="N323" s="95"/>
      <c r="O323" s="95"/>
      <c r="P323" s="95"/>
    </row>
    <row r="324" spans="1:76" s="81" customFormat="1" x14ac:dyDescent="0.25">
      <c r="A324" s="110"/>
      <c r="B324" s="95"/>
      <c r="C324" s="95"/>
      <c r="D324" s="76" t="s">
        <v>425</v>
      </c>
      <c r="E324" s="76" t="s">
        <v>54</v>
      </c>
      <c r="F324" s="95"/>
      <c r="G324" s="96">
        <v>21.852</v>
      </c>
      <c r="H324" s="97"/>
      <c r="I324" s="95"/>
      <c r="J324" s="95"/>
      <c r="K324" s="95"/>
      <c r="L324" s="95"/>
      <c r="M324" s="95"/>
      <c r="N324" s="95"/>
      <c r="O324" s="95"/>
      <c r="P324" s="95"/>
    </row>
    <row r="325" spans="1:76" s="81" customFormat="1" x14ac:dyDescent="0.25">
      <c r="A325" s="110"/>
      <c r="B325" s="95"/>
      <c r="C325" s="95"/>
      <c r="D325" s="76" t="s">
        <v>426</v>
      </c>
      <c r="E325" s="76" t="s">
        <v>54</v>
      </c>
      <c r="F325" s="95"/>
      <c r="G325" s="96">
        <v>7.58</v>
      </c>
      <c r="H325" s="97"/>
      <c r="I325" s="95"/>
      <c r="J325" s="95"/>
      <c r="K325" s="95"/>
      <c r="L325" s="95"/>
      <c r="M325" s="95"/>
      <c r="N325" s="95"/>
      <c r="O325" s="95"/>
      <c r="P325" s="95"/>
    </row>
    <row r="326" spans="1:76" s="81" customFormat="1" x14ac:dyDescent="0.25">
      <c r="A326" s="110"/>
      <c r="B326" s="95"/>
      <c r="C326" s="95"/>
      <c r="D326" s="76" t="s">
        <v>54</v>
      </c>
      <c r="E326" s="76" t="s">
        <v>402</v>
      </c>
      <c r="F326" s="95"/>
      <c r="G326" s="96">
        <v>0</v>
      </c>
      <c r="H326" s="97"/>
      <c r="I326" s="95"/>
      <c r="J326" s="95"/>
      <c r="K326" s="95"/>
      <c r="L326" s="95"/>
      <c r="M326" s="95"/>
      <c r="N326" s="95"/>
      <c r="O326" s="95"/>
      <c r="P326" s="95"/>
    </row>
    <row r="327" spans="1:76" s="81" customFormat="1" ht="25.5" x14ac:dyDescent="0.25">
      <c r="A327" s="110"/>
      <c r="B327" s="95"/>
      <c r="C327" s="95"/>
      <c r="D327" s="76" t="s">
        <v>427</v>
      </c>
      <c r="E327" s="76" t="s">
        <v>54</v>
      </c>
      <c r="F327" s="95"/>
      <c r="G327" s="96">
        <v>455.66460000000001</v>
      </c>
      <c r="H327" s="97"/>
      <c r="I327" s="95"/>
      <c r="J327" s="95"/>
      <c r="K327" s="95"/>
      <c r="L327" s="95"/>
      <c r="M327" s="95"/>
      <c r="N327" s="95"/>
      <c r="O327" s="95"/>
      <c r="P327" s="95"/>
    </row>
    <row r="328" spans="1:76" s="81" customFormat="1" x14ac:dyDescent="0.25">
      <c r="A328" s="110"/>
      <c r="B328" s="95"/>
      <c r="C328" s="95"/>
      <c r="D328" s="76" t="s">
        <v>428</v>
      </c>
      <c r="E328" s="76" t="s">
        <v>54</v>
      </c>
      <c r="F328" s="95"/>
      <c r="G328" s="96">
        <v>92.234999999999999</v>
      </c>
      <c r="H328" s="97"/>
      <c r="I328" s="95"/>
      <c r="J328" s="95"/>
      <c r="K328" s="95"/>
      <c r="L328" s="95"/>
      <c r="M328" s="95"/>
      <c r="N328" s="95"/>
      <c r="O328" s="95"/>
      <c r="P328" s="95"/>
    </row>
    <row r="329" spans="1:76" s="81" customFormat="1" x14ac:dyDescent="0.25">
      <c r="A329" s="110"/>
      <c r="B329" s="95"/>
      <c r="C329" s="95"/>
      <c r="D329" s="76" t="s">
        <v>429</v>
      </c>
      <c r="E329" s="76" t="s">
        <v>54</v>
      </c>
      <c r="F329" s="95"/>
      <c r="G329" s="96">
        <v>131.274</v>
      </c>
      <c r="H329" s="97"/>
      <c r="I329" s="95"/>
      <c r="J329" s="95"/>
      <c r="K329" s="95"/>
      <c r="L329" s="95"/>
      <c r="M329" s="95"/>
      <c r="N329" s="95"/>
      <c r="O329" s="95"/>
      <c r="P329" s="95"/>
    </row>
    <row r="330" spans="1:76" s="81" customFormat="1" x14ac:dyDescent="0.25">
      <c r="A330" s="110"/>
      <c r="B330" s="95"/>
      <c r="C330" s="95"/>
      <c r="D330" s="76" t="s">
        <v>430</v>
      </c>
      <c r="E330" s="76" t="s">
        <v>54</v>
      </c>
      <c r="F330" s="95"/>
      <c r="G330" s="96">
        <v>31.319600000000001</v>
      </c>
      <c r="H330" s="97"/>
      <c r="I330" s="95"/>
      <c r="J330" s="95"/>
      <c r="K330" s="95"/>
      <c r="L330" s="95"/>
      <c r="M330" s="95"/>
      <c r="N330" s="95"/>
      <c r="O330" s="95"/>
      <c r="P330" s="95"/>
    </row>
    <row r="331" spans="1:76" s="81" customFormat="1" x14ac:dyDescent="0.25">
      <c r="A331" s="110"/>
      <c r="B331" s="95"/>
      <c r="C331" s="95"/>
      <c r="D331" s="76" t="s">
        <v>431</v>
      </c>
      <c r="E331" s="76" t="s">
        <v>54</v>
      </c>
      <c r="F331" s="95"/>
      <c r="G331" s="96">
        <v>3.3479999999999999</v>
      </c>
      <c r="H331" s="97"/>
      <c r="I331" s="95"/>
      <c r="J331" s="95"/>
      <c r="K331" s="95"/>
      <c r="L331" s="95"/>
      <c r="M331" s="95"/>
      <c r="N331" s="95"/>
      <c r="O331" s="95"/>
      <c r="P331" s="95"/>
    </row>
    <row r="332" spans="1:76" s="81" customFormat="1" x14ac:dyDescent="0.25">
      <c r="A332" s="110"/>
      <c r="B332" s="95"/>
      <c r="C332" s="95"/>
      <c r="D332" s="76" t="s">
        <v>432</v>
      </c>
      <c r="E332" s="76" t="s">
        <v>54</v>
      </c>
      <c r="F332" s="95"/>
      <c r="G332" s="96">
        <v>15.295500000000001</v>
      </c>
      <c r="H332" s="97"/>
      <c r="I332" s="95"/>
      <c r="J332" s="95"/>
      <c r="K332" s="95"/>
      <c r="L332" s="95"/>
      <c r="M332" s="95"/>
      <c r="N332" s="95"/>
      <c r="O332" s="95"/>
      <c r="P332" s="95"/>
    </row>
    <row r="333" spans="1:76" s="81" customFormat="1" x14ac:dyDescent="0.25">
      <c r="A333" s="110"/>
      <c r="B333" s="95"/>
      <c r="C333" s="95"/>
      <c r="D333" s="76" t="s">
        <v>433</v>
      </c>
      <c r="E333" s="76" t="s">
        <v>54</v>
      </c>
      <c r="F333" s="95"/>
      <c r="G333" s="96">
        <v>55.997999999999998</v>
      </c>
      <c r="H333" s="97"/>
      <c r="I333" s="95"/>
      <c r="J333" s="95"/>
      <c r="K333" s="95"/>
      <c r="L333" s="95"/>
      <c r="M333" s="95"/>
      <c r="N333" s="95"/>
      <c r="O333" s="95"/>
      <c r="P333" s="95"/>
    </row>
    <row r="334" spans="1:76" s="81" customFormat="1" x14ac:dyDescent="0.25">
      <c r="A334" s="110"/>
      <c r="B334" s="95"/>
      <c r="C334" s="95"/>
      <c r="D334" s="76" t="s">
        <v>434</v>
      </c>
      <c r="E334" s="76" t="s">
        <v>54</v>
      </c>
      <c r="F334" s="95"/>
      <c r="G334" s="96">
        <v>25.79785</v>
      </c>
      <c r="H334" s="97"/>
      <c r="I334" s="95"/>
      <c r="J334" s="95"/>
      <c r="K334" s="95"/>
      <c r="L334" s="95"/>
      <c r="M334" s="95"/>
      <c r="N334" s="95"/>
      <c r="O334" s="95"/>
      <c r="P334" s="95"/>
    </row>
    <row r="335" spans="1:76" s="81" customFormat="1" ht="25.5" x14ac:dyDescent="0.25">
      <c r="A335" s="110"/>
      <c r="B335" s="95"/>
      <c r="C335" s="95"/>
      <c r="D335" s="76" t="s">
        <v>435</v>
      </c>
      <c r="E335" s="76" t="s">
        <v>54</v>
      </c>
      <c r="F335" s="95"/>
      <c r="G335" s="96">
        <v>28.658999999999999</v>
      </c>
      <c r="H335" s="97"/>
      <c r="I335" s="95"/>
      <c r="J335" s="95"/>
      <c r="K335" s="95"/>
      <c r="L335" s="95"/>
      <c r="M335" s="95"/>
      <c r="N335" s="95"/>
      <c r="O335" s="95"/>
      <c r="P335" s="95"/>
    </row>
    <row r="336" spans="1:76" s="81" customFormat="1" x14ac:dyDescent="0.25">
      <c r="A336" s="66" t="s">
        <v>436</v>
      </c>
      <c r="B336" s="72" t="s">
        <v>55</v>
      </c>
      <c r="C336" s="72" t="s">
        <v>437</v>
      </c>
      <c r="D336" s="174" t="s">
        <v>438</v>
      </c>
      <c r="E336" s="174"/>
      <c r="F336" s="72" t="s">
        <v>192</v>
      </c>
      <c r="G336" s="90">
        <v>1101.5995499999999</v>
      </c>
      <c r="H336" s="91"/>
      <c r="I336" s="92" t="s">
        <v>63</v>
      </c>
      <c r="J336" s="90">
        <f>G336*AO336</f>
        <v>0</v>
      </c>
      <c r="K336" s="90">
        <f>G336*AP336</f>
        <v>0</v>
      </c>
      <c r="L336" s="90">
        <f>G336*H336</f>
        <v>0</v>
      </c>
      <c r="M336" s="90">
        <f>L336*(1+BW336/100)</f>
        <v>0</v>
      </c>
      <c r="N336" s="90">
        <v>0</v>
      </c>
      <c r="O336" s="90">
        <f>G336*N336</f>
        <v>0</v>
      </c>
      <c r="P336" s="92" t="s">
        <v>64</v>
      </c>
      <c r="Z336" s="93">
        <f>IF(AQ336="5",BJ336,0)</f>
        <v>0</v>
      </c>
      <c r="AB336" s="93">
        <f>IF(AQ336="1",BH336,0)</f>
        <v>0</v>
      </c>
      <c r="AC336" s="93">
        <f>IF(AQ336="1",BI336,0)</f>
        <v>0</v>
      </c>
      <c r="AD336" s="93">
        <f>IF(AQ336="7",BH336,0)</f>
        <v>0</v>
      </c>
      <c r="AE336" s="93">
        <f>IF(AQ336="7",BI336,0)</f>
        <v>0</v>
      </c>
      <c r="AF336" s="93">
        <f>IF(AQ336="2",BH336,0)</f>
        <v>0</v>
      </c>
      <c r="AG336" s="93">
        <f>IF(AQ336="2",BI336,0)</f>
        <v>0</v>
      </c>
      <c r="AH336" s="93">
        <f>IF(AQ336="0",BJ336,0)</f>
        <v>0</v>
      </c>
      <c r="AI336" s="88" t="s">
        <v>55</v>
      </c>
      <c r="AJ336" s="93">
        <f>IF(AN336=0,L336,0)</f>
        <v>0</v>
      </c>
      <c r="AK336" s="93">
        <f>IF(AN336=12,L336,0)</f>
        <v>0</v>
      </c>
      <c r="AL336" s="93">
        <f>IF(AN336=21,L336,0)</f>
        <v>0</v>
      </c>
      <c r="AN336" s="93">
        <v>21</v>
      </c>
      <c r="AO336" s="93">
        <f>H336*0</f>
        <v>0</v>
      </c>
      <c r="AP336" s="93">
        <f>H336*(1-0)</f>
        <v>0</v>
      </c>
      <c r="AQ336" s="94" t="s">
        <v>59</v>
      </c>
      <c r="AV336" s="93">
        <f>AW336+AX336</f>
        <v>0</v>
      </c>
      <c r="AW336" s="93">
        <f>G336*AO336</f>
        <v>0</v>
      </c>
      <c r="AX336" s="93">
        <f>G336*AP336</f>
        <v>0</v>
      </c>
      <c r="AY336" s="94" t="s">
        <v>281</v>
      </c>
      <c r="AZ336" s="94" t="s">
        <v>282</v>
      </c>
      <c r="BA336" s="88" t="s">
        <v>67</v>
      </c>
      <c r="BC336" s="93">
        <f>AW336+AX336</f>
        <v>0</v>
      </c>
      <c r="BD336" s="93">
        <f>H336/(100-BE336)*100</f>
        <v>0</v>
      </c>
      <c r="BE336" s="93">
        <v>0</v>
      </c>
      <c r="BF336" s="93">
        <f>O336</f>
        <v>0</v>
      </c>
      <c r="BH336" s="93">
        <f>G336*AO336</f>
        <v>0</v>
      </c>
      <c r="BI336" s="93">
        <f>G336*AP336</f>
        <v>0</v>
      </c>
      <c r="BJ336" s="93">
        <f>G336*H336</f>
        <v>0</v>
      </c>
      <c r="BK336" s="93"/>
      <c r="BL336" s="93">
        <v>31</v>
      </c>
      <c r="BW336" s="93" t="str">
        <f>I336</f>
        <v>21</v>
      </c>
      <c r="BX336" s="2" t="s">
        <v>438</v>
      </c>
    </row>
    <row r="337" spans="1:76" s="81" customFormat="1" x14ac:dyDescent="0.25">
      <c r="A337" s="66" t="s">
        <v>439</v>
      </c>
      <c r="B337" s="72" t="s">
        <v>55</v>
      </c>
      <c r="C337" s="72" t="s">
        <v>440</v>
      </c>
      <c r="D337" s="174" t="s">
        <v>441</v>
      </c>
      <c r="E337" s="174"/>
      <c r="F337" s="72" t="s">
        <v>203</v>
      </c>
      <c r="G337" s="90">
        <v>13</v>
      </c>
      <c r="H337" s="91"/>
      <c r="I337" s="92" t="s">
        <v>63</v>
      </c>
      <c r="J337" s="90">
        <f>G337*AO337</f>
        <v>0</v>
      </c>
      <c r="K337" s="90">
        <f>G337*AP337</f>
        <v>0</v>
      </c>
      <c r="L337" s="90">
        <f>G337*H337</f>
        <v>0</v>
      </c>
      <c r="M337" s="90">
        <f>L337*(1+BW337/100)</f>
        <v>0</v>
      </c>
      <c r="N337" s="90">
        <v>2.6509999999999999E-2</v>
      </c>
      <c r="O337" s="90">
        <f>G337*N337</f>
        <v>0.34462999999999999</v>
      </c>
      <c r="P337" s="92" t="s">
        <v>64</v>
      </c>
      <c r="Z337" s="93">
        <f>IF(AQ337="5",BJ337,0)</f>
        <v>0</v>
      </c>
      <c r="AB337" s="93">
        <f>IF(AQ337="1",BH337,0)</f>
        <v>0</v>
      </c>
      <c r="AC337" s="93">
        <f>IF(AQ337="1",BI337,0)</f>
        <v>0</v>
      </c>
      <c r="AD337" s="93">
        <f>IF(AQ337="7",BH337,0)</f>
        <v>0</v>
      </c>
      <c r="AE337" s="93">
        <f>IF(AQ337="7",BI337,0)</f>
        <v>0</v>
      </c>
      <c r="AF337" s="93">
        <f>IF(AQ337="2",BH337,0)</f>
        <v>0</v>
      </c>
      <c r="AG337" s="93">
        <f>IF(AQ337="2",BI337,0)</f>
        <v>0</v>
      </c>
      <c r="AH337" s="93">
        <f>IF(AQ337="0",BJ337,0)</f>
        <v>0</v>
      </c>
      <c r="AI337" s="88" t="s">
        <v>55</v>
      </c>
      <c r="AJ337" s="93">
        <f>IF(AN337=0,L337,0)</f>
        <v>0</v>
      </c>
      <c r="AK337" s="93">
        <f>IF(AN337=12,L337,0)</f>
        <v>0</v>
      </c>
      <c r="AL337" s="93">
        <f>IF(AN337=21,L337,0)</f>
        <v>0</v>
      </c>
      <c r="AN337" s="93">
        <v>21</v>
      </c>
      <c r="AO337" s="93">
        <f>H337*0.876897196</f>
        <v>0</v>
      </c>
      <c r="AP337" s="93">
        <f>H337*(1-0.876897196)</f>
        <v>0</v>
      </c>
      <c r="AQ337" s="94" t="s">
        <v>59</v>
      </c>
      <c r="AV337" s="93">
        <f>AW337+AX337</f>
        <v>0</v>
      </c>
      <c r="AW337" s="93">
        <f>G337*AO337</f>
        <v>0</v>
      </c>
      <c r="AX337" s="93">
        <f>G337*AP337</f>
        <v>0</v>
      </c>
      <c r="AY337" s="94" t="s">
        <v>281</v>
      </c>
      <c r="AZ337" s="94" t="s">
        <v>282</v>
      </c>
      <c r="BA337" s="88" t="s">
        <v>67</v>
      </c>
      <c r="BC337" s="93">
        <f>AW337+AX337</f>
        <v>0</v>
      </c>
      <c r="BD337" s="93">
        <f>H337/(100-BE337)*100</f>
        <v>0</v>
      </c>
      <c r="BE337" s="93">
        <v>0</v>
      </c>
      <c r="BF337" s="93">
        <f>O337</f>
        <v>0.34462999999999999</v>
      </c>
      <c r="BH337" s="93">
        <f>G337*AO337</f>
        <v>0</v>
      </c>
      <c r="BI337" s="93">
        <f>G337*AP337</f>
        <v>0</v>
      </c>
      <c r="BJ337" s="93">
        <f>G337*H337</f>
        <v>0</v>
      </c>
      <c r="BK337" s="93"/>
      <c r="BL337" s="93">
        <v>31</v>
      </c>
      <c r="BW337" s="93" t="str">
        <f>I337</f>
        <v>21</v>
      </c>
      <c r="BX337" s="2" t="s">
        <v>441</v>
      </c>
    </row>
    <row r="338" spans="1:76" s="81" customFormat="1" ht="13.5" customHeight="1" x14ac:dyDescent="0.25">
      <c r="A338" s="110"/>
      <c r="B338" s="95"/>
      <c r="C338" s="95"/>
      <c r="D338" s="179" t="s">
        <v>442</v>
      </c>
      <c r="E338" s="179"/>
      <c r="F338" s="179"/>
      <c r="G338" s="179"/>
      <c r="H338" s="179"/>
      <c r="I338" s="179"/>
      <c r="J338" s="179"/>
      <c r="K338" s="179"/>
      <c r="L338" s="179"/>
      <c r="M338" s="179"/>
      <c r="N338" s="179"/>
      <c r="O338" s="179"/>
      <c r="P338" s="179"/>
    </row>
    <row r="339" spans="1:76" s="81" customFormat="1" x14ac:dyDescent="0.25">
      <c r="A339" s="110"/>
      <c r="B339" s="95"/>
      <c r="C339" s="95"/>
      <c r="D339" s="76" t="s">
        <v>54</v>
      </c>
      <c r="E339" s="76" t="s">
        <v>215</v>
      </c>
      <c r="F339" s="95"/>
      <c r="G339" s="96">
        <v>0</v>
      </c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1:76" s="81" customFormat="1" x14ac:dyDescent="0.25">
      <c r="A340" s="110"/>
      <c r="B340" s="95"/>
      <c r="C340" s="95"/>
      <c r="D340" s="76" t="s">
        <v>144</v>
      </c>
      <c r="E340" s="76" t="s">
        <v>54</v>
      </c>
      <c r="F340" s="95"/>
      <c r="G340" s="96">
        <v>6</v>
      </c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1:76" s="81" customFormat="1" x14ac:dyDescent="0.25">
      <c r="A341" s="110"/>
      <c r="B341" s="95"/>
      <c r="C341" s="95"/>
      <c r="D341" s="76" t="s">
        <v>54</v>
      </c>
      <c r="E341" s="76" t="s">
        <v>443</v>
      </c>
      <c r="F341" s="95"/>
      <c r="G341" s="96">
        <v>0</v>
      </c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1:76" s="81" customFormat="1" x14ac:dyDescent="0.25">
      <c r="A342" s="110"/>
      <c r="B342" s="95"/>
      <c r="C342" s="95"/>
      <c r="D342" s="76" t="s">
        <v>148</v>
      </c>
      <c r="E342" s="76" t="s">
        <v>54</v>
      </c>
      <c r="F342" s="95"/>
      <c r="G342" s="96">
        <v>7</v>
      </c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1:76" s="81" customFormat="1" x14ac:dyDescent="0.25">
      <c r="A343" s="66" t="s">
        <v>444</v>
      </c>
      <c r="B343" s="72" t="s">
        <v>55</v>
      </c>
      <c r="C343" s="72" t="s">
        <v>445</v>
      </c>
      <c r="D343" s="174" t="s">
        <v>441</v>
      </c>
      <c r="E343" s="174"/>
      <c r="F343" s="72" t="s">
        <v>203</v>
      </c>
      <c r="G343" s="90">
        <v>25</v>
      </c>
      <c r="H343" s="91"/>
      <c r="I343" s="92" t="s">
        <v>63</v>
      </c>
      <c r="J343" s="90">
        <f>G343*AO343</f>
        <v>0</v>
      </c>
      <c r="K343" s="90">
        <f>G343*AP343</f>
        <v>0</v>
      </c>
      <c r="L343" s="90">
        <f>G343*H343</f>
        <v>0</v>
      </c>
      <c r="M343" s="90">
        <f>L343*(1+BW343/100)</f>
        <v>0</v>
      </c>
      <c r="N343" s="90">
        <v>3.9789999999999999E-2</v>
      </c>
      <c r="O343" s="90">
        <f>G343*N343</f>
        <v>0.99475000000000002</v>
      </c>
      <c r="P343" s="92" t="s">
        <v>64</v>
      </c>
      <c r="Z343" s="93">
        <f>IF(AQ343="5",BJ343,0)</f>
        <v>0</v>
      </c>
      <c r="AB343" s="93">
        <f>IF(AQ343="1",BH343,0)</f>
        <v>0</v>
      </c>
      <c r="AC343" s="93">
        <f>IF(AQ343="1",BI343,0)</f>
        <v>0</v>
      </c>
      <c r="AD343" s="93">
        <f>IF(AQ343="7",BH343,0)</f>
        <v>0</v>
      </c>
      <c r="AE343" s="93">
        <f>IF(AQ343="7",BI343,0)</f>
        <v>0</v>
      </c>
      <c r="AF343" s="93">
        <f>IF(AQ343="2",BH343,0)</f>
        <v>0</v>
      </c>
      <c r="AG343" s="93">
        <f>IF(AQ343="2",BI343,0)</f>
        <v>0</v>
      </c>
      <c r="AH343" s="93">
        <f>IF(AQ343="0",BJ343,0)</f>
        <v>0</v>
      </c>
      <c r="AI343" s="88" t="s">
        <v>55</v>
      </c>
      <c r="AJ343" s="93">
        <f>IF(AN343=0,L343,0)</f>
        <v>0</v>
      </c>
      <c r="AK343" s="93">
        <f>IF(AN343=12,L343,0)</f>
        <v>0</v>
      </c>
      <c r="AL343" s="93">
        <f>IF(AN343=21,L343,0)</f>
        <v>0</v>
      </c>
      <c r="AN343" s="93">
        <v>21</v>
      </c>
      <c r="AO343" s="93">
        <f>H343*0.914467532</f>
        <v>0</v>
      </c>
      <c r="AP343" s="93">
        <f>H343*(1-0.914467532)</f>
        <v>0</v>
      </c>
      <c r="AQ343" s="94" t="s">
        <v>59</v>
      </c>
      <c r="AV343" s="93">
        <f>AW343+AX343</f>
        <v>0</v>
      </c>
      <c r="AW343" s="93">
        <f>G343*AO343</f>
        <v>0</v>
      </c>
      <c r="AX343" s="93">
        <f>G343*AP343</f>
        <v>0</v>
      </c>
      <c r="AY343" s="94" t="s">
        <v>281</v>
      </c>
      <c r="AZ343" s="94" t="s">
        <v>282</v>
      </c>
      <c r="BA343" s="88" t="s">
        <v>67</v>
      </c>
      <c r="BC343" s="93">
        <f>AW343+AX343</f>
        <v>0</v>
      </c>
      <c r="BD343" s="93">
        <f>H343/(100-BE343)*100</f>
        <v>0</v>
      </c>
      <c r="BE343" s="93">
        <v>0</v>
      </c>
      <c r="BF343" s="93">
        <f>O343</f>
        <v>0.99475000000000002</v>
      </c>
      <c r="BH343" s="93">
        <f>G343*AO343</f>
        <v>0</v>
      </c>
      <c r="BI343" s="93">
        <f>G343*AP343</f>
        <v>0</v>
      </c>
      <c r="BJ343" s="93">
        <f>G343*H343</f>
        <v>0</v>
      </c>
      <c r="BK343" s="93"/>
      <c r="BL343" s="93">
        <v>31</v>
      </c>
      <c r="BW343" s="93" t="str">
        <f>I343</f>
        <v>21</v>
      </c>
      <c r="BX343" s="2" t="s">
        <v>441</v>
      </c>
    </row>
    <row r="344" spans="1:76" s="81" customFormat="1" ht="13.5" customHeight="1" x14ac:dyDescent="0.25">
      <c r="A344" s="110"/>
      <c r="B344" s="95"/>
      <c r="C344" s="95"/>
      <c r="D344" s="179" t="s">
        <v>446</v>
      </c>
      <c r="E344" s="179"/>
      <c r="F344" s="179"/>
      <c r="G344" s="179"/>
      <c r="H344" s="179"/>
      <c r="I344" s="179"/>
      <c r="J344" s="179"/>
      <c r="K344" s="179"/>
      <c r="L344" s="179"/>
      <c r="M344" s="179"/>
      <c r="N344" s="179"/>
      <c r="O344" s="179"/>
      <c r="P344" s="179"/>
    </row>
    <row r="345" spans="1:76" s="81" customFormat="1" x14ac:dyDescent="0.25">
      <c r="A345" s="110"/>
      <c r="B345" s="95"/>
      <c r="C345" s="95"/>
      <c r="D345" s="76" t="s">
        <v>54</v>
      </c>
      <c r="E345" s="76" t="s">
        <v>215</v>
      </c>
      <c r="F345" s="95"/>
      <c r="G345" s="96">
        <v>0</v>
      </c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1:76" s="81" customFormat="1" x14ac:dyDescent="0.25">
      <c r="A346" s="110"/>
      <c r="B346" s="95"/>
      <c r="C346" s="95"/>
      <c r="D346" s="76" t="s">
        <v>144</v>
      </c>
      <c r="E346" s="76" t="s">
        <v>54</v>
      </c>
      <c r="F346" s="95"/>
      <c r="G346" s="96">
        <v>6</v>
      </c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1:76" s="81" customFormat="1" x14ac:dyDescent="0.25">
      <c r="A347" s="110"/>
      <c r="B347" s="95"/>
      <c r="C347" s="95"/>
      <c r="D347" s="76" t="s">
        <v>54</v>
      </c>
      <c r="E347" s="76" t="s">
        <v>443</v>
      </c>
      <c r="F347" s="95"/>
      <c r="G347" s="96">
        <v>0</v>
      </c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1:76" s="81" customFormat="1" x14ac:dyDescent="0.25">
      <c r="A348" s="110"/>
      <c r="B348" s="95"/>
      <c r="C348" s="95"/>
      <c r="D348" s="76" t="s">
        <v>233</v>
      </c>
      <c r="E348" s="76" t="s">
        <v>54</v>
      </c>
      <c r="F348" s="95"/>
      <c r="G348" s="96">
        <v>19</v>
      </c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1:76" s="81" customFormat="1" x14ac:dyDescent="0.25">
      <c r="A349" s="66" t="s">
        <v>447</v>
      </c>
      <c r="B349" s="72" t="s">
        <v>55</v>
      </c>
      <c r="C349" s="72" t="s">
        <v>448</v>
      </c>
      <c r="D349" s="174" t="s">
        <v>449</v>
      </c>
      <c r="E349" s="174"/>
      <c r="F349" s="72" t="s">
        <v>203</v>
      </c>
      <c r="G349" s="90">
        <v>1</v>
      </c>
      <c r="H349" s="91"/>
      <c r="I349" s="92" t="s">
        <v>63</v>
      </c>
      <c r="J349" s="90">
        <f>G349*AO349</f>
        <v>0</v>
      </c>
      <c r="K349" s="90">
        <f>G349*AP349</f>
        <v>0</v>
      </c>
      <c r="L349" s="90">
        <f>G349*H349</f>
        <v>0</v>
      </c>
      <c r="M349" s="90">
        <f>L349*(1+BW349/100)</f>
        <v>0</v>
      </c>
      <c r="N349" s="90">
        <v>7.424E-2</v>
      </c>
      <c r="O349" s="90">
        <f>G349*N349</f>
        <v>7.424E-2</v>
      </c>
      <c r="P349" s="92" t="s">
        <v>64</v>
      </c>
      <c r="Z349" s="93">
        <f>IF(AQ349="5",BJ349,0)</f>
        <v>0</v>
      </c>
      <c r="AB349" s="93">
        <f>IF(AQ349="1",BH349,0)</f>
        <v>0</v>
      </c>
      <c r="AC349" s="93">
        <f>IF(AQ349="1",BI349,0)</f>
        <v>0</v>
      </c>
      <c r="AD349" s="93">
        <f>IF(AQ349="7",BH349,0)</f>
        <v>0</v>
      </c>
      <c r="AE349" s="93">
        <f>IF(AQ349="7",BI349,0)</f>
        <v>0</v>
      </c>
      <c r="AF349" s="93">
        <f>IF(AQ349="2",BH349,0)</f>
        <v>0</v>
      </c>
      <c r="AG349" s="93">
        <f>IF(AQ349="2",BI349,0)</f>
        <v>0</v>
      </c>
      <c r="AH349" s="93">
        <f>IF(AQ349="0",BJ349,0)</f>
        <v>0</v>
      </c>
      <c r="AI349" s="88" t="s">
        <v>55</v>
      </c>
      <c r="AJ349" s="93">
        <f>IF(AN349=0,L349,0)</f>
        <v>0</v>
      </c>
      <c r="AK349" s="93">
        <f>IF(AN349=12,L349,0)</f>
        <v>0</v>
      </c>
      <c r="AL349" s="93">
        <f>IF(AN349=21,L349,0)</f>
        <v>0</v>
      </c>
      <c r="AN349" s="93">
        <v>21</v>
      </c>
      <c r="AO349" s="93">
        <f>H349*0.919112828</f>
        <v>0</v>
      </c>
      <c r="AP349" s="93">
        <f>H349*(1-0.919112828)</f>
        <v>0</v>
      </c>
      <c r="AQ349" s="94" t="s">
        <v>59</v>
      </c>
      <c r="AV349" s="93">
        <f>AW349+AX349</f>
        <v>0</v>
      </c>
      <c r="AW349" s="93">
        <f>G349*AO349</f>
        <v>0</v>
      </c>
      <c r="AX349" s="93">
        <f>G349*AP349</f>
        <v>0</v>
      </c>
      <c r="AY349" s="94" t="s">
        <v>281</v>
      </c>
      <c r="AZ349" s="94" t="s">
        <v>282</v>
      </c>
      <c r="BA349" s="88" t="s">
        <v>67</v>
      </c>
      <c r="BC349" s="93">
        <f>AW349+AX349</f>
        <v>0</v>
      </c>
      <c r="BD349" s="93">
        <f>H349/(100-BE349)*100</f>
        <v>0</v>
      </c>
      <c r="BE349" s="93">
        <v>0</v>
      </c>
      <c r="BF349" s="93">
        <f>O349</f>
        <v>7.424E-2</v>
      </c>
      <c r="BH349" s="93">
        <f>G349*AO349</f>
        <v>0</v>
      </c>
      <c r="BI349" s="93">
        <f>G349*AP349</f>
        <v>0</v>
      </c>
      <c r="BJ349" s="93">
        <f>G349*H349</f>
        <v>0</v>
      </c>
      <c r="BK349" s="93"/>
      <c r="BL349" s="93">
        <v>31</v>
      </c>
      <c r="BW349" s="93" t="str">
        <f>I349</f>
        <v>21</v>
      </c>
      <c r="BX349" s="2" t="s">
        <v>449</v>
      </c>
    </row>
    <row r="350" spans="1:76" s="81" customFormat="1" ht="13.5" customHeight="1" x14ac:dyDescent="0.25">
      <c r="A350" s="110"/>
      <c r="B350" s="95"/>
      <c r="C350" s="95"/>
      <c r="D350" s="179" t="s">
        <v>450</v>
      </c>
      <c r="E350" s="179"/>
      <c r="F350" s="179"/>
      <c r="G350" s="179"/>
      <c r="H350" s="179"/>
      <c r="I350" s="179"/>
      <c r="J350" s="179"/>
      <c r="K350" s="179"/>
      <c r="L350" s="179"/>
      <c r="M350" s="179"/>
      <c r="N350" s="179"/>
      <c r="O350" s="179"/>
      <c r="P350" s="179"/>
    </row>
    <row r="351" spans="1:76" s="81" customFormat="1" x14ac:dyDescent="0.25">
      <c r="A351" s="110"/>
      <c r="B351" s="95"/>
      <c r="C351" s="95"/>
      <c r="D351" s="76" t="s">
        <v>54</v>
      </c>
      <c r="E351" s="76" t="s">
        <v>215</v>
      </c>
      <c r="F351" s="95"/>
      <c r="G351" s="96">
        <v>0</v>
      </c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1:76" s="81" customFormat="1" x14ac:dyDescent="0.25">
      <c r="A352" s="110"/>
      <c r="B352" s="95"/>
      <c r="C352" s="95"/>
      <c r="D352" s="76" t="s">
        <v>59</v>
      </c>
      <c r="E352" s="76" t="s">
        <v>54</v>
      </c>
      <c r="F352" s="95"/>
      <c r="G352" s="96">
        <v>1</v>
      </c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1:76" s="81" customFormat="1" x14ac:dyDescent="0.25">
      <c r="A353" s="66" t="s">
        <v>451</v>
      </c>
      <c r="B353" s="72" t="s">
        <v>55</v>
      </c>
      <c r="C353" s="72" t="s">
        <v>452</v>
      </c>
      <c r="D353" s="174" t="s">
        <v>449</v>
      </c>
      <c r="E353" s="174"/>
      <c r="F353" s="72" t="s">
        <v>203</v>
      </c>
      <c r="G353" s="90">
        <v>1</v>
      </c>
      <c r="H353" s="91"/>
      <c r="I353" s="92" t="s">
        <v>63</v>
      </c>
      <c r="J353" s="90">
        <f>G353*AO353</f>
        <v>0</v>
      </c>
      <c r="K353" s="90">
        <f>G353*AP353</f>
        <v>0</v>
      </c>
      <c r="L353" s="90">
        <f>G353*H353</f>
        <v>0</v>
      </c>
      <c r="M353" s="90">
        <f>L353*(1+BW353/100)</f>
        <v>0</v>
      </c>
      <c r="N353" s="90">
        <v>9.2579999999999996E-2</v>
      </c>
      <c r="O353" s="90">
        <f>G353*N353</f>
        <v>9.2579999999999996E-2</v>
      </c>
      <c r="P353" s="92" t="s">
        <v>64</v>
      </c>
      <c r="Z353" s="93">
        <f>IF(AQ353="5",BJ353,0)</f>
        <v>0</v>
      </c>
      <c r="AB353" s="93">
        <f>IF(AQ353="1",BH353,0)</f>
        <v>0</v>
      </c>
      <c r="AC353" s="93">
        <f>IF(AQ353="1",BI353,0)</f>
        <v>0</v>
      </c>
      <c r="AD353" s="93">
        <f>IF(AQ353="7",BH353,0)</f>
        <v>0</v>
      </c>
      <c r="AE353" s="93">
        <f>IF(AQ353="7",BI353,0)</f>
        <v>0</v>
      </c>
      <c r="AF353" s="93">
        <f>IF(AQ353="2",BH353,0)</f>
        <v>0</v>
      </c>
      <c r="AG353" s="93">
        <f>IF(AQ353="2",BI353,0)</f>
        <v>0</v>
      </c>
      <c r="AH353" s="93">
        <f>IF(AQ353="0",BJ353,0)</f>
        <v>0</v>
      </c>
      <c r="AI353" s="88" t="s">
        <v>55</v>
      </c>
      <c r="AJ353" s="93">
        <f>IF(AN353=0,L353,0)</f>
        <v>0</v>
      </c>
      <c r="AK353" s="93">
        <f>IF(AN353=12,L353,0)</f>
        <v>0</v>
      </c>
      <c r="AL353" s="93">
        <f>IF(AN353=21,L353,0)</f>
        <v>0</v>
      </c>
      <c r="AN353" s="93">
        <v>21</v>
      </c>
      <c r="AO353" s="93">
        <f>H353*0.934253769</f>
        <v>0</v>
      </c>
      <c r="AP353" s="93">
        <f>H353*(1-0.934253769)</f>
        <v>0</v>
      </c>
      <c r="AQ353" s="94" t="s">
        <v>59</v>
      </c>
      <c r="AV353" s="93">
        <f>AW353+AX353</f>
        <v>0</v>
      </c>
      <c r="AW353" s="93">
        <f>G353*AO353</f>
        <v>0</v>
      </c>
      <c r="AX353" s="93">
        <f>G353*AP353</f>
        <v>0</v>
      </c>
      <c r="AY353" s="94" t="s">
        <v>281</v>
      </c>
      <c r="AZ353" s="94" t="s">
        <v>282</v>
      </c>
      <c r="BA353" s="88" t="s">
        <v>67</v>
      </c>
      <c r="BC353" s="93">
        <f>AW353+AX353</f>
        <v>0</v>
      </c>
      <c r="BD353" s="93">
        <f>H353/(100-BE353)*100</f>
        <v>0</v>
      </c>
      <c r="BE353" s="93">
        <v>0</v>
      </c>
      <c r="BF353" s="93">
        <f>O353</f>
        <v>9.2579999999999996E-2</v>
      </c>
      <c r="BH353" s="93">
        <f>G353*AO353</f>
        <v>0</v>
      </c>
      <c r="BI353" s="93">
        <f>G353*AP353</f>
        <v>0</v>
      </c>
      <c r="BJ353" s="93">
        <f>G353*H353</f>
        <v>0</v>
      </c>
      <c r="BK353" s="93"/>
      <c r="BL353" s="93">
        <v>31</v>
      </c>
      <c r="BW353" s="93" t="str">
        <f>I353</f>
        <v>21</v>
      </c>
      <c r="BX353" s="2" t="s">
        <v>449</v>
      </c>
    </row>
    <row r="354" spans="1:76" s="81" customFormat="1" ht="13.5" customHeight="1" x14ac:dyDescent="0.25">
      <c r="A354" s="110"/>
      <c r="B354" s="95"/>
      <c r="C354" s="95"/>
      <c r="D354" s="179" t="s">
        <v>453</v>
      </c>
      <c r="E354" s="179"/>
      <c r="F354" s="179"/>
      <c r="G354" s="179"/>
      <c r="H354" s="179"/>
      <c r="I354" s="179"/>
      <c r="J354" s="179"/>
      <c r="K354" s="179"/>
      <c r="L354" s="179"/>
      <c r="M354" s="179"/>
      <c r="N354" s="179"/>
      <c r="O354" s="179"/>
      <c r="P354" s="179"/>
    </row>
    <row r="355" spans="1:76" s="81" customFormat="1" x14ac:dyDescent="0.25">
      <c r="A355" s="110"/>
      <c r="B355" s="95"/>
      <c r="C355" s="95"/>
      <c r="D355" s="76" t="s">
        <v>54</v>
      </c>
      <c r="E355" s="76" t="s">
        <v>215</v>
      </c>
      <c r="F355" s="95"/>
      <c r="G355" s="96">
        <v>0</v>
      </c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1:76" s="81" customFormat="1" x14ac:dyDescent="0.25">
      <c r="A356" s="110"/>
      <c r="B356" s="95"/>
      <c r="C356" s="95"/>
      <c r="D356" s="76" t="s">
        <v>59</v>
      </c>
      <c r="E356" s="76" t="s">
        <v>54</v>
      </c>
      <c r="F356" s="95"/>
      <c r="G356" s="96">
        <v>1</v>
      </c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1:76" s="81" customFormat="1" x14ac:dyDescent="0.25">
      <c r="A357" s="66" t="s">
        <v>454</v>
      </c>
      <c r="B357" s="72" t="s">
        <v>55</v>
      </c>
      <c r="C357" s="72" t="s">
        <v>455</v>
      </c>
      <c r="D357" s="174" t="s">
        <v>456</v>
      </c>
      <c r="E357" s="174"/>
      <c r="F357" s="72" t="s">
        <v>203</v>
      </c>
      <c r="G357" s="90">
        <v>8</v>
      </c>
      <c r="H357" s="91"/>
      <c r="I357" s="92" t="s">
        <v>63</v>
      </c>
      <c r="J357" s="90">
        <f>G357*AO357</f>
        <v>0</v>
      </c>
      <c r="K357" s="90">
        <f>G357*AP357</f>
        <v>0</v>
      </c>
      <c r="L357" s="90">
        <f>G357*H357</f>
        <v>0</v>
      </c>
      <c r="M357" s="90">
        <f>L357*(1+BW357/100)</f>
        <v>0</v>
      </c>
      <c r="N357" s="90">
        <v>9.6930000000000002E-2</v>
      </c>
      <c r="O357" s="90">
        <f>G357*N357</f>
        <v>0.77544000000000002</v>
      </c>
      <c r="P357" s="92" t="s">
        <v>64</v>
      </c>
      <c r="Z357" s="93">
        <f>IF(AQ357="5",BJ357,0)</f>
        <v>0</v>
      </c>
      <c r="AB357" s="93">
        <f>IF(AQ357="1",BH357,0)</f>
        <v>0</v>
      </c>
      <c r="AC357" s="93">
        <f>IF(AQ357="1",BI357,0)</f>
        <v>0</v>
      </c>
      <c r="AD357" s="93">
        <f>IF(AQ357="7",BH357,0)</f>
        <v>0</v>
      </c>
      <c r="AE357" s="93">
        <f>IF(AQ357="7",BI357,0)</f>
        <v>0</v>
      </c>
      <c r="AF357" s="93">
        <f>IF(AQ357="2",BH357,0)</f>
        <v>0</v>
      </c>
      <c r="AG357" s="93">
        <f>IF(AQ357="2",BI357,0)</f>
        <v>0</v>
      </c>
      <c r="AH357" s="93">
        <f>IF(AQ357="0",BJ357,0)</f>
        <v>0</v>
      </c>
      <c r="AI357" s="88" t="s">
        <v>55</v>
      </c>
      <c r="AJ357" s="93">
        <f>IF(AN357=0,L357,0)</f>
        <v>0</v>
      </c>
      <c r="AK357" s="93">
        <f>IF(AN357=12,L357,0)</f>
        <v>0</v>
      </c>
      <c r="AL357" s="93">
        <f>IF(AN357=21,L357,0)</f>
        <v>0</v>
      </c>
      <c r="AN357" s="93">
        <v>21</v>
      </c>
      <c r="AO357" s="93">
        <f>H357*0.951779453</f>
        <v>0</v>
      </c>
      <c r="AP357" s="93">
        <f>H357*(1-0.951779453)</f>
        <v>0</v>
      </c>
      <c r="AQ357" s="94" t="s">
        <v>59</v>
      </c>
      <c r="AV357" s="93">
        <f>AW357+AX357</f>
        <v>0</v>
      </c>
      <c r="AW357" s="93">
        <f>G357*AO357</f>
        <v>0</v>
      </c>
      <c r="AX357" s="93">
        <f>G357*AP357</f>
        <v>0</v>
      </c>
      <c r="AY357" s="94" t="s">
        <v>281</v>
      </c>
      <c r="AZ357" s="94" t="s">
        <v>282</v>
      </c>
      <c r="BA357" s="88" t="s">
        <v>67</v>
      </c>
      <c r="BC357" s="93">
        <f>AW357+AX357</f>
        <v>0</v>
      </c>
      <c r="BD357" s="93">
        <f>H357/(100-BE357)*100</f>
        <v>0</v>
      </c>
      <c r="BE357" s="93">
        <v>0</v>
      </c>
      <c r="BF357" s="93">
        <f>O357</f>
        <v>0.77544000000000002</v>
      </c>
      <c r="BH357" s="93">
        <f>G357*AO357</f>
        <v>0</v>
      </c>
      <c r="BI357" s="93">
        <f>G357*AP357</f>
        <v>0</v>
      </c>
      <c r="BJ357" s="93">
        <f>G357*H357</f>
        <v>0</v>
      </c>
      <c r="BK357" s="93"/>
      <c r="BL357" s="93">
        <v>31</v>
      </c>
      <c r="BW357" s="93" t="str">
        <f>I357</f>
        <v>21</v>
      </c>
      <c r="BX357" s="2" t="s">
        <v>456</v>
      </c>
    </row>
    <row r="358" spans="1:76" s="81" customFormat="1" ht="13.5" customHeight="1" x14ac:dyDescent="0.25">
      <c r="A358" s="110"/>
      <c r="B358" s="95"/>
      <c r="C358" s="95"/>
      <c r="D358" s="179" t="s">
        <v>457</v>
      </c>
      <c r="E358" s="179"/>
      <c r="F358" s="179"/>
      <c r="G358" s="179"/>
      <c r="H358" s="179"/>
      <c r="I358" s="179"/>
      <c r="J358" s="179"/>
      <c r="K358" s="179"/>
      <c r="L358" s="179"/>
      <c r="M358" s="179"/>
      <c r="N358" s="179"/>
      <c r="O358" s="179"/>
      <c r="P358" s="179"/>
    </row>
    <row r="359" spans="1:76" s="81" customFormat="1" x14ac:dyDescent="0.25">
      <c r="A359" s="110"/>
      <c r="B359" s="95"/>
      <c r="C359" s="95"/>
      <c r="D359" s="76" t="s">
        <v>54</v>
      </c>
      <c r="E359" s="76" t="s">
        <v>215</v>
      </c>
      <c r="F359" s="95"/>
      <c r="G359" s="96">
        <v>0</v>
      </c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1:76" s="81" customFormat="1" x14ac:dyDescent="0.25">
      <c r="A360" s="110"/>
      <c r="B360" s="95"/>
      <c r="C360" s="95"/>
      <c r="D360" s="76" t="s">
        <v>458</v>
      </c>
      <c r="E360" s="76" t="s">
        <v>54</v>
      </c>
      <c r="F360" s="95"/>
      <c r="G360" s="96">
        <v>8</v>
      </c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1:76" s="81" customFormat="1" x14ac:dyDescent="0.25">
      <c r="A361" s="109" t="s">
        <v>54</v>
      </c>
      <c r="B361" s="74" t="s">
        <v>55</v>
      </c>
      <c r="C361" s="74" t="s">
        <v>310</v>
      </c>
      <c r="D361" s="180" t="s">
        <v>459</v>
      </c>
      <c r="E361" s="180"/>
      <c r="F361" s="85" t="s">
        <v>4</v>
      </c>
      <c r="G361" s="85" t="s">
        <v>4</v>
      </c>
      <c r="H361" s="85" t="s">
        <v>4</v>
      </c>
      <c r="I361" s="85" t="s">
        <v>4</v>
      </c>
      <c r="J361" s="86">
        <f>SUM(J362:J404)</f>
        <v>0</v>
      </c>
      <c r="K361" s="86">
        <f>SUM(K362:K404)</f>
        <v>0</v>
      </c>
      <c r="L361" s="86">
        <f>SUM(L362:L404)</f>
        <v>0</v>
      </c>
      <c r="M361" s="86">
        <f>SUM(M362:M404)</f>
        <v>0</v>
      </c>
      <c r="N361" s="87" t="s">
        <v>54</v>
      </c>
      <c r="O361" s="86">
        <f>SUM(O362:O404)</f>
        <v>87.864909691999998</v>
      </c>
      <c r="P361" s="87" t="s">
        <v>54</v>
      </c>
      <c r="AI361" s="88" t="s">
        <v>55</v>
      </c>
      <c r="AS361" s="89">
        <f>SUM(AJ362:AJ404)</f>
        <v>0</v>
      </c>
      <c r="AT361" s="89">
        <f>SUM(AK362:AK404)</f>
        <v>0</v>
      </c>
      <c r="AU361" s="89">
        <f>SUM(AL362:AL404)</f>
        <v>0</v>
      </c>
    </row>
    <row r="362" spans="1:76" s="81" customFormat="1" x14ac:dyDescent="0.25">
      <c r="A362" s="66" t="s">
        <v>460</v>
      </c>
      <c r="B362" s="72" t="s">
        <v>55</v>
      </c>
      <c r="C362" s="72" t="s">
        <v>461</v>
      </c>
      <c r="D362" s="174" t="s">
        <v>462</v>
      </c>
      <c r="E362" s="174"/>
      <c r="F362" s="72" t="s">
        <v>222</v>
      </c>
      <c r="G362" s="90">
        <v>4.6100000000000003</v>
      </c>
      <c r="H362" s="91"/>
      <c r="I362" s="92" t="s">
        <v>63</v>
      </c>
      <c r="J362" s="90">
        <f>G362*AO362</f>
        <v>0</v>
      </c>
      <c r="K362" s="90">
        <f>G362*AP362</f>
        <v>0</v>
      </c>
      <c r="L362" s="90">
        <f>G362*H362</f>
        <v>0</v>
      </c>
      <c r="M362" s="90">
        <f>L362*(1+BW362/100)</f>
        <v>0</v>
      </c>
      <c r="N362" s="90">
        <v>1.02396</v>
      </c>
      <c r="O362" s="90">
        <f>G362*N362</f>
        <v>4.7204556000000002</v>
      </c>
      <c r="P362" s="92" t="s">
        <v>64</v>
      </c>
      <c r="Z362" s="93">
        <f>IF(AQ362="5",BJ362,0)</f>
        <v>0</v>
      </c>
      <c r="AB362" s="93">
        <f>IF(AQ362="1",BH362,0)</f>
        <v>0</v>
      </c>
      <c r="AC362" s="93">
        <f>IF(AQ362="1",BI362,0)</f>
        <v>0</v>
      </c>
      <c r="AD362" s="93">
        <f>IF(AQ362="7",BH362,0)</f>
        <v>0</v>
      </c>
      <c r="AE362" s="93">
        <f>IF(AQ362="7",BI362,0)</f>
        <v>0</v>
      </c>
      <c r="AF362" s="93">
        <f>IF(AQ362="2",BH362,0)</f>
        <v>0</v>
      </c>
      <c r="AG362" s="93">
        <f>IF(AQ362="2",BI362,0)</f>
        <v>0</v>
      </c>
      <c r="AH362" s="93">
        <f>IF(AQ362="0",BJ362,0)</f>
        <v>0</v>
      </c>
      <c r="AI362" s="88" t="s">
        <v>55</v>
      </c>
      <c r="AJ362" s="93">
        <f>IF(AN362=0,L362,0)</f>
        <v>0</v>
      </c>
      <c r="AK362" s="93">
        <f>IF(AN362=12,L362,0)</f>
        <v>0</v>
      </c>
      <c r="AL362" s="93">
        <f>IF(AN362=21,L362,0)</f>
        <v>0</v>
      </c>
      <c r="AN362" s="93">
        <v>21</v>
      </c>
      <c r="AO362" s="93">
        <f>H362*0.710204208</f>
        <v>0</v>
      </c>
      <c r="AP362" s="93">
        <f>H362*(1-0.710204208)</f>
        <v>0</v>
      </c>
      <c r="AQ362" s="94" t="s">
        <v>59</v>
      </c>
      <c r="AV362" s="93">
        <f>AW362+AX362</f>
        <v>0</v>
      </c>
      <c r="AW362" s="93">
        <f>G362*AO362</f>
        <v>0</v>
      </c>
      <c r="AX362" s="93">
        <f>G362*AP362</f>
        <v>0</v>
      </c>
      <c r="AY362" s="94" t="s">
        <v>463</v>
      </c>
      <c r="AZ362" s="94" t="s">
        <v>282</v>
      </c>
      <c r="BA362" s="88" t="s">
        <v>67</v>
      </c>
      <c r="BC362" s="93">
        <f>AW362+AX362</f>
        <v>0</v>
      </c>
      <c r="BD362" s="93">
        <f>H362/(100-BE362)*100</f>
        <v>0</v>
      </c>
      <c r="BE362" s="93">
        <v>0</v>
      </c>
      <c r="BF362" s="93">
        <f>O362</f>
        <v>4.7204556000000002</v>
      </c>
      <c r="BH362" s="93">
        <f>G362*AO362</f>
        <v>0</v>
      </c>
      <c r="BI362" s="93">
        <f>G362*AP362</f>
        <v>0</v>
      </c>
      <c r="BJ362" s="93">
        <f>G362*H362</f>
        <v>0</v>
      </c>
      <c r="BK362" s="93"/>
      <c r="BL362" s="93">
        <v>33</v>
      </c>
      <c r="BW362" s="93" t="str">
        <f>I362</f>
        <v>21</v>
      </c>
      <c r="BX362" s="2" t="s">
        <v>462</v>
      </c>
    </row>
    <row r="363" spans="1:76" s="81" customFormat="1" x14ac:dyDescent="0.25">
      <c r="A363" s="110"/>
      <c r="B363" s="95"/>
      <c r="C363" s="95"/>
      <c r="D363" s="76" t="s">
        <v>464</v>
      </c>
      <c r="E363" s="76" t="s">
        <v>465</v>
      </c>
      <c r="F363" s="95"/>
      <c r="G363" s="96">
        <v>4.6100000000000003</v>
      </c>
      <c r="H363" s="97"/>
      <c r="I363" s="95"/>
      <c r="J363" s="95"/>
      <c r="K363" s="95"/>
      <c r="L363" s="95"/>
      <c r="M363" s="95"/>
      <c r="N363" s="95"/>
      <c r="O363" s="95"/>
      <c r="P363" s="95"/>
    </row>
    <row r="364" spans="1:76" s="81" customFormat="1" x14ac:dyDescent="0.25">
      <c r="A364" s="66" t="s">
        <v>466</v>
      </c>
      <c r="B364" s="72" t="s">
        <v>55</v>
      </c>
      <c r="C364" s="72" t="s">
        <v>467</v>
      </c>
      <c r="D364" s="174" t="s">
        <v>468</v>
      </c>
      <c r="E364" s="174"/>
      <c r="F364" s="72" t="s">
        <v>62</v>
      </c>
      <c r="G364" s="90">
        <v>28.747599999999998</v>
      </c>
      <c r="H364" s="91"/>
      <c r="I364" s="92" t="s">
        <v>63</v>
      </c>
      <c r="J364" s="90">
        <f>G364*AO364</f>
        <v>0</v>
      </c>
      <c r="K364" s="90">
        <f>G364*AP364</f>
        <v>0</v>
      </c>
      <c r="L364" s="90">
        <f>G364*H364</f>
        <v>0</v>
      </c>
      <c r="M364" s="90">
        <f>L364*(1+BW364/100)</f>
        <v>0</v>
      </c>
      <c r="N364" s="90">
        <v>2.53999</v>
      </c>
      <c r="O364" s="90">
        <f>G364*N364</f>
        <v>73.018616523999995</v>
      </c>
      <c r="P364" s="92" t="s">
        <v>64</v>
      </c>
      <c r="Z364" s="93">
        <f>IF(AQ364="5",BJ364,0)</f>
        <v>0</v>
      </c>
      <c r="AB364" s="93">
        <f>IF(AQ364="1",BH364,0)</f>
        <v>0</v>
      </c>
      <c r="AC364" s="93">
        <f>IF(AQ364="1",BI364,0)</f>
        <v>0</v>
      </c>
      <c r="AD364" s="93">
        <f>IF(AQ364="7",BH364,0)</f>
        <v>0</v>
      </c>
      <c r="AE364" s="93">
        <f>IF(AQ364="7",BI364,0)</f>
        <v>0</v>
      </c>
      <c r="AF364" s="93">
        <f>IF(AQ364="2",BH364,0)</f>
        <v>0</v>
      </c>
      <c r="AG364" s="93">
        <f>IF(AQ364="2",BI364,0)</f>
        <v>0</v>
      </c>
      <c r="AH364" s="93">
        <f>IF(AQ364="0",BJ364,0)</f>
        <v>0</v>
      </c>
      <c r="AI364" s="88" t="s">
        <v>55</v>
      </c>
      <c r="AJ364" s="93">
        <f>IF(AN364=0,L364,0)</f>
        <v>0</v>
      </c>
      <c r="AK364" s="93">
        <f>IF(AN364=12,L364,0)</f>
        <v>0</v>
      </c>
      <c r="AL364" s="93">
        <f>IF(AN364=21,L364,0)</f>
        <v>0</v>
      </c>
      <c r="AN364" s="93">
        <v>21</v>
      </c>
      <c r="AO364" s="93">
        <f>H364*0.786302684</f>
        <v>0</v>
      </c>
      <c r="AP364" s="93">
        <f>H364*(1-0.786302684)</f>
        <v>0</v>
      </c>
      <c r="AQ364" s="94" t="s">
        <v>59</v>
      </c>
      <c r="AV364" s="93">
        <f>AW364+AX364</f>
        <v>0</v>
      </c>
      <c r="AW364" s="93">
        <f>G364*AO364</f>
        <v>0</v>
      </c>
      <c r="AX364" s="93">
        <f>G364*AP364</f>
        <v>0</v>
      </c>
      <c r="AY364" s="94" t="s">
        <v>463</v>
      </c>
      <c r="AZ364" s="94" t="s">
        <v>282</v>
      </c>
      <c r="BA364" s="88" t="s">
        <v>67</v>
      </c>
      <c r="BC364" s="93">
        <f>AW364+AX364</f>
        <v>0</v>
      </c>
      <c r="BD364" s="93">
        <f>H364/(100-BE364)*100</f>
        <v>0</v>
      </c>
      <c r="BE364" s="93">
        <v>0</v>
      </c>
      <c r="BF364" s="93">
        <f>O364</f>
        <v>73.018616523999995</v>
      </c>
      <c r="BH364" s="93">
        <f>G364*AO364</f>
        <v>0</v>
      </c>
      <c r="BI364" s="93">
        <f>G364*AP364</f>
        <v>0</v>
      </c>
      <c r="BJ364" s="93">
        <f>G364*H364</f>
        <v>0</v>
      </c>
      <c r="BK364" s="93"/>
      <c r="BL364" s="93">
        <v>33</v>
      </c>
      <c r="BW364" s="93" t="str">
        <f>I364</f>
        <v>21</v>
      </c>
      <c r="BX364" s="2" t="s">
        <v>468</v>
      </c>
    </row>
    <row r="365" spans="1:76" s="81" customFormat="1" x14ac:dyDescent="0.25">
      <c r="A365" s="110"/>
      <c r="B365" s="95"/>
      <c r="C365" s="95"/>
      <c r="D365" s="76" t="s">
        <v>54</v>
      </c>
      <c r="E365" s="76" t="s">
        <v>469</v>
      </c>
      <c r="F365" s="95"/>
      <c r="G365" s="96">
        <v>0</v>
      </c>
      <c r="H365" s="97"/>
      <c r="I365" s="95"/>
      <c r="J365" s="95"/>
      <c r="K365" s="95"/>
      <c r="L365" s="95"/>
      <c r="M365" s="95"/>
      <c r="N365" s="95"/>
      <c r="O365" s="95"/>
      <c r="P365" s="95"/>
    </row>
    <row r="366" spans="1:76" s="81" customFormat="1" x14ac:dyDescent="0.25">
      <c r="A366" s="110"/>
      <c r="B366" s="95"/>
      <c r="C366" s="95"/>
      <c r="D366" s="76" t="s">
        <v>470</v>
      </c>
      <c r="E366" s="76" t="s">
        <v>471</v>
      </c>
      <c r="F366" s="95"/>
      <c r="G366" s="96">
        <v>2.3561999999999999</v>
      </c>
      <c r="H366" s="97"/>
      <c r="I366" s="95"/>
      <c r="J366" s="95"/>
      <c r="K366" s="95"/>
      <c r="L366" s="95"/>
      <c r="M366" s="95"/>
      <c r="N366" s="95"/>
      <c r="O366" s="95"/>
      <c r="P366" s="95"/>
    </row>
    <row r="367" spans="1:76" s="81" customFormat="1" x14ac:dyDescent="0.25">
      <c r="A367" s="110"/>
      <c r="B367" s="95"/>
      <c r="C367" s="95"/>
      <c r="D367" s="76" t="s">
        <v>472</v>
      </c>
      <c r="E367" s="76" t="s">
        <v>54</v>
      </c>
      <c r="F367" s="95"/>
      <c r="G367" s="96">
        <v>2.0655000000000001</v>
      </c>
      <c r="H367" s="97"/>
      <c r="I367" s="95"/>
      <c r="J367" s="95"/>
      <c r="K367" s="95"/>
      <c r="L367" s="95"/>
      <c r="M367" s="95"/>
      <c r="N367" s="95"/>
      <c r="O367" s="95"/>
      <c r="P367" s="95"/>
    </row>
    <row r="368" spans="1:76" s="81" customFormat="1" x14ac:dyDescent="0.25">
      <c r="A368" s="110"/>
      <c r="B368" s="95"/>
      <c r="C368" s="95"/>
      <c r="D368" s="76" t="s">
        <v>473</v>
      </c>
      <c r="E368" s="76" t="s">
        <v>474</v>
      </c>
      <c r="F368" s="95"/>
      <c r="G368" s="96">
        <v>3.4030999999999998</v>
      </c>
      <c r="H368" s="97"/>
      <c r="I368" s="95"/>
      <c r="J368" s="95"/>
      <c r="K368" s="95"/>
      <c r="L368" s="95"/>
      <c r="M368" s="95"/>
      <c r="N368" s="95"/>
      <c r="O368" s="95"/>
      <c r="P368" s="95"/>
    </row>
    <row r="369" spans="1:76" s="81" customFormat="1" x14ac:dyDescent="0.25">
      <c r="A369" s="110"/>
      <c r="B369" s="95"/>
      <c r="C369" s="95"/>
      <c r="D369" s="76" t="s">
        <v>54</v>
      </c>
      <c r="E369" s="76" t="s">
        <v>475</v>
      </c>
      <c r="F369" s="95"/>
      <c r="G369" s="96">
        <v>0</v>
      </c>
      <c r="H369" s="97"/>
      <c r="I369" s="95"/>
      <c r="J369" s="95"/>
      <c r="K369" s="95"/>
      <c r="L369" s="95"/>
      <c r="M369" s="95"/>
      <c r="N369" s="95"/>
      <c r="O369" s="95"/>
      <c r="P369" s="95"/>
    </row>
    <row r="370" spans="1:76" s="81" customFormat="1" x14ac:dyDescent="0.25">
      <c r="A370" s="110"/>
      <c r="B370" s="95"/>
      <c r="C370" s="95"/>
      <c r="D370" s="76" t="s">
        <v>476</v>
      </c>
      <c r="E370" s="76" t="s">
        <v>471</v>
      </c>
      <c r="F370" s="95"/>
      <c r="G370" s="96">
        <v>2.2522500000000001</v>
      </c>
      <c r="H370" s="97"/>
      <c r="I370" s="95"/>
      <c r="J370" s="95"/>
      <c r="K370" s="95"/>
      <c r="L370" s="95"/>
      <c r="M370" s="95"/>
      <c r="N370" s="95"/>
      <c r="O370" s="95"/>
      <c r="P370" s="95"/>
    </row>
    <row r="371" spans="1:76" s="81" customFormat="1" x14ac:dyDescent="0.25">
      <c r="A371" s="110"/>
      <c r="B371" s="95"/>
      <c r="C371" s="95"/>
      <c r="D371" s="76" t="s">
        <v>477</v>
      </c>
      <c r="E371" s="76" t="s">
        <v>478</v>
      </c>
      <c r="F371" s="95"/>
      <c r="G371" s="96">
        <v>1.6626399999999999</v>
      </c>
      <c r="H371" s="97"/>
      <c r="I371" s="95"/>
      <c r="J371" s="95"/>
      <c r="K371" s="95"/>
      <c r="L371" s="95"/>
      <c r="M371" s="95"/>
      <c r="N371" s="95"/>
      <c r="O371" s="95"/>
      <c r="P371" s="95"/>
    </row>
    <row r="372" spans="1:76" s="81" customFormat="1" x14ac:dyDescent="0.25">
      <c r="A372" s="110"/>
      <c r="B372" s="95"/>
      <c r="C372" s="95"/>
      <c r="D372" s="76" t="s">
        <v>479</v>
      </c>
      <c r="E372" s="76" t="s">
        <v>480</v>
      </c>
      <c r="F372" s="95"/>
      <c r="G372" s="96">
        <v>5.8263600000000002</v>
      </c>
      <c r="H372" s="97"/>
      <c r="I372" s="95"/>
      <c r="J372" s="95"/>
      <c r="K372" s="95"/>
      <c r="L372" s="95"/>
      <c r="M372" s="95"/>
      <c r="N372" s="95"/>
      <c r="O372" s="95"/>
      <c r="P372" s="95"/>
    </row>
    <row r="373" spans="1:76" s="81" customFormat="1" x14ac:dyDescent="0.25">
      <c r="A373" s="110"/>
      <c r="B373" s="95"/>
      <c r="C373" s="95"/>
      <c r="D373" s="76" t="s">
        <v>481</v>
      </c>
      <c r="E373" s="76" t="s">
        <v>482</v>
      </c>
      <c r="F373" s="95"/>
      <c r="G373" s="96">
        <v>0.81488000000000005</v>
      </c>
      <c r="H373" s="97"/>
      <c r="I373" s="95"/>
      <c r="J373" s="95"/>
      <c r="K373" s="95"/>
      <c r="L373" s="95"/>
      <c r="M373" s="95"/>
      <c r="N373" s="95"/>
      <c r="O373" s="95"/>
      <c r="P373" s="95"/>
    </row>
    <row r="374" spans="1:76" s="81" customFormat="1" x14ac:dyDescent="0.25">
      <c r="A374" s="110"/>
      <c r="B374" s="95"/>
      <c r="C374" s="95"/>
      <c r="D374" s="76" t="s">
        <v>481</v>
      </c>
      <c r="E374" s="76" t="s">
        <v>483</v>
      </c>
      <c r="F374" s="95"/>
      <c r="G374" s="96">
        <v>0.81488000000000005</v>
      </c>
      <c r="H374" s="97"/>
      <c r="I374" s="95"/>
      <c r="J374" s="95"/>
      <c r="K374" s="95"/>
      <c r="L374" s="95"/>
      <c r="M374" s="95"/>
      <c r="N374" s="95"/>
      <c r="O374" s="95"/>
      <c r="P374" s="95"/>
    </row>
    <row r="375" spans="1:76" s="81" customFormat="1" x14ac:dyDescent="0.25">
      <c r="A375" s="110"/>
      <c r="B375" s="95"/>
      <c r="C375" s="95"/>
      <c r="D375" s="76" t="s">
        <v>484</v>
      </c>
      <c r="E375" s="76" t="s">
        <v>485</v>
      </c>
      <c r="F375" s="95"/>
      <c r="G375" s="96">
        <v>2.0064099999999998</v>
      </c>
      <c r="H375" s="97"/>
      <c r="I375" s="95"/>
      <c r="J375" s="95"/>
      <c r="K375" s="95"/>
      <c r="L375" s="95"/>
      <c r="M375" s="95"/>
      <c r="N375" s="95"/>
      <c r="O375" s="95"/>
      <c r="P375" s="95"/>
    </row>
    <row r="376" spans="1:76" s="81" customFormat="1" x14ac:dyDescent="0.25">
      <c r="A376" s="110"/>
      <c r="B376" s="95"/>
      <c r="C376" s="95"/>
      <c r="D376" s="76" t="s">
        <v>486</v>
      </c>
      <c r="E376" s="76" t="s">
        <v>487</v>
      </c>
      <c r="F376" s="95"/>
      <c r="G376" s="96">
        <v>1.1825600000000001</v>
      </c>
      <c r="H376" s="97"/>
      <c r="I376" s="95"/>
      <c r="J376" s="95"/>
      <c r="K376" s="95"/>
      <c r="L376" s="95"/>
      <c r="M376" s="95"/>
      <c r="N376" s="95"/>
      <c r="O376" s="95"/>
      <c r="P376" s="95"/>
    </row>
    <row r="377" spans="1:76" s="81" customFormat="1" x14ac:dyDescent="0.25">
      <c r="A377" s="110"/>
      <c r="B377" s="95"/>
      <c r="C377" s="95"/>
      <c r="D377" s="76" t="s">
        <v>488</v>
      </c>
      <c r="E377" s="76" t="s">
        <v>489</v>
      </c>
      <c r="F377" s="95"/>
      <c r="G377" s="96">
        <v>0.68589</v>
      </c>
      <c r="H377" s="97"/>
      <c r="I377" s="95"/>
      <c r="J377" s="95"/>
      <c r="K377" s="95"/>
      <c r="L377" s="95"/>
      <c r="M377" s="95"/>
      <c r="N377" s="95"/>
      <c r="O377" s="95"/>
      <c r="P377" s="95"/>
    </row>
    <row r="378" spans="1:76" s="81" customFormat="1" x14ac:dyDescent="0.25">
      <c r="A378" s="110"/>
      <c r="B378" s="95"/>
      <c r="C378" s="95"/>
      <c r="D378" s="76" t="s">
        <v>490</v>
      </c>
      <c r="E378" s="76" t="s">
        <v>491</v>
      </c>
      <c r="F378" s="95"/>
      <c r="G378" s="96">
        <v>0.50061999999999995</v>
      </c>
      <c r="H378" s="97"/>
      <c r="I378" s="95"/>
      <c r="J378" s="95"/>
      <c r="K378" s="95"/>
      <c r="L378" s="95"/>
      <c r="M378" s="95"/>
      <c r="N378" s="95"/>
      <c r="O378" s="95"/>
      <c r="P378" s="95"/>
    </row>
    <row r="379" spans="1:76" s="81" customFormat="1" x14ac:dyDescent="0.25">
      <c r="A379" s="110"/>
      <c r="B379" s="95"/>
      <c r="C379" s="95"/>
      <c r="D379" s="76" t="s">
        <v>492</v>
      </c>
      <c r="E379" s="76" t="s">
        <v>493</v>
      </c>
      <c r="F379" s="95"/>
      <c r="G379" s="96">
        <v>0.37053999999999998</v>
      </c>
      <c r="H379" s="97"/>
      <c r="I379" s="95"/>
      <c r="J379" s="95"/>
      <c r="K379" s="95"/>
      <c r="L379" s="95"/>
      <c r="M379" s="95"/>
      <c r="N379" s="95"/>
      <c r="O379" s="95"/>
      <c r="P379" s="95"/>
    </row>
    <row r="380" spans="1:76" s="81" customFormat="1" x14ac:dyDescent="0.25">
      <c r="A380" s="110"/>
      <c r="B380" s="95"/>
      <c r="C380" s="95"/>
      <c r="D380" s="76" t="s">
        <v>494</v>
      </c>
      <c r="E380" s="76" t="s">
        <v>495</v>
      </c>
      <c r="F380" s="95"/>
      <c r="G380" s="96">
        <v>0.77512000000000003</v>
      </c>
      <c r="H380" s="97"/>
      <c r="I380" s="95"/>
      <c r="J380" s="95"/>
      <c r="K380" s="95"/>
      <c r="L380" s="95"/>
      <c r="M380" s="95"/>
      <c r="N380" s="95"/>
      <c r="O380" s="95"/>
      <c r="P380" s="95"/>
    </row>
    <row r="381" spans="1:76" s="81" customFormat="1" x14ac:dyDescent="0.25">
      <c r="A381" s="110"/>
      <c r="B381" s="95"/>
      <c r="C381" s="95"/>
      <c r="D381" s="76" t="s">
        <v>496</v>
      </c>
      <c r="E381" s="76" t="s">
        <v>497</v>
      </c>
      <c r="F381" s="95"/>
      <c r="G381" s="96">
        <v>1.16269</v>
      </c>
      <c r="H381" s="97"/>
      <c r="I381" s="95"/>
      <c r="J381" s="95"/>
      <c r="K381" s="95"/>
      <c r="L381" s="95"/>
      <c r="M381" s="95"/>
      <c r="N381" s="95"/>
      <c r="O381" s="95"/>
      <c r="P381" s="95"/>
    </row>
    <row r="382" spans="1:76" s="81" customFormat="1" x14ac:dyDescent="0.25">
      <c r="A382" s="110"/>
      <c r="B382" s="95"/>
      <c r="C382" s="95"/>
      <c r="D382" s="76" t="s">
        <v>498</v>
      </c>
      <c r="E382" s="76" t="s">
        <v>499</v>
      </c>
      <c r="F382" s="95"/>
      <c r="G382" s="96">
        <v>0.38756000000000002</v>
      </c>
      <c r="H382" s="97"/>
      <c r="I382" s="95"/>
      <c r="J382" s="95"/>
      <c r="K382" s="95"/>
      <c r="L382" s="95"/>
      <c r="M382" s="95"/>
      <c r="N382" s="95"/>
      <c r="O382" s="95"/>
      <c r="P382" s="95"/>
    </row>
    <row r="383" spans="1:76" s="81" customFormat="1" x14ac:dyDescent="0.25">
      <c r="A383" s="110"/>
      <c r="B383" s="95"/>
      <c r="C383" s="95"/>
      <c r="D383" s="76" t="s">
        <v>500</v>
      </c>
      <c r="E383" s="76" t="s">
        <v>501</v>
      </c>
      <c r="F383" s="95"/>
      <c r="G383" s="96">
        <v>2.4803999999999999</v>
      </c>
      <c r="H383" s="97"/>
      <c r="I383" s="95"/>
      <c r="J383" s="95"/>
      <c r="K383" s="95"/>
      <c r="L383" s="95"/>
      <c r="M383" s="95"/>
      <c r="N383" s="95"/>
      <c r="O383" s="95"/>
      <c r="P383" s="95"/>
    </row>
    <row r="384" spans="1:76" s="81" customFormat="1" x14ac:dyDescent="0.25">
      <c r="A384" s="66" t="s">
        <v>502</v>
      </c>
      <c r="B384" s="72" t="s">
        <v>55</v>
      </c>
      <c r="C384" s="72" t="s">
        <v>503</v>
      </c>
      <c r="D384" s="174" t="s">
        <v>504</v>
      </c>
      <c r="E384" s="174"/>
      <c r="F384" s="72" t="s">
        <v>192</v>
      </c>
      <c r="G384" s="90">
        <v>265.90960000000001</v>
      </c>
      <c r="H384" s="91"/>
      <c r="I384" s="92" t="s">
        <v>63</v>
      </c>
      <c r="J384" s="90">
        <f>G384*AO384</f>
        <v>0</v>
      </c>
      <c r="K384" s="90">
        <f>G384*AP384</f>
        <v>0</v>
      </c>
      <c r="L384" s="90">
        <f>G384*H384</f>
        <v>0</v>
      </c>
      <c r="M384" s="90">
        <f>L384*(1+BW384/100)</f>
        <v>0</v>
      </c>
      <c r="N384" s="90">
        <v>3.8080000000000003E-2</v>
      </c>
      <c r="O384" s="90">
        <f>G384*N384</f>
        <v>10.125837568000001</v>
      </c>
      <c r="P384" s="92" t="s">
        <v>64</v>
      </c>
      <c r="Z384" s="93">
        <f>IF(AQ384="5",BJ384,0)</f>
        <v>0</v>
      </c>
      <c r="AB384" s="93">
        <f>IF(AQ384="1",BH384,0)</f>
        <v>0</v>
      </c>
      <c r="AC384" s="93">
        <f>IF(AQ384="1",BI384,0)</f>
        <v>0</v>
      </c>
      <c r="AD384" s="93">
        <f>IF(AQ384="7",BH384,0)</f>
        <v>0</v>
      </c>
      <c r="AE384" s="93">
        <f>IF(AQ384="7",BI384,0)</f>
        <v>0</v>
      </c>
      <c r="AF384" s="93">
        <f>IF(AQ384="2",BH384,0)</f>
        <v>0</v>
      </c>
      <c r="AG384" s="93">
        <f>IF(AQ384="2",BI384,0)</f>
        <v>0</v>
      </c>
      <c r="AH384" s="93">
        <f>IF(AQ384="0",BJ384,0)</f>
        <v>0</v>
      </c>
      <c r="AI384" s="88" t="s">
        <v>55</v>
      </c>
      <c r="AJ384" s="93">
        <f>IF(AN384=0,L384,0)</f>
        <v>0</v>
      </c>
      <c r="AK384" s="93">
        <f>IF(AN384=12,L384,0)</f>
        <v>0</v>
      </c>
      <c r="AL384" s="93">
        <f>IF(AN384=21,L384,0)</f>
        <v>0</v>
      </c>
      <c r="AN384" s="93">
        <v>21</v>
      </c>
      <c r="AO384" s="93">
        <f>H384*0.530704085</f>
        <v>0</v>
      </c>
      <c r="AP384" s="93">
        <f>H384*(1-0.530704085)</f>
        <v>0</v>
      </c>
      <c r="AQ384" s="94" t="s">
        <v>59</v>
      </c>
      <c r="AV384" s="93">
        <f>AW384+AX384</f>
        <v>0</v>
      </c>
      <c r="AW384" s="93">
        <f>G384*AO384</f>
        <v>0</v>
      </c>
      <c r="AX384" s="93">
        <f>G384*AP384</f>
        <v>0</v>
      </c>
      <c r="AY384" s="94" t="s">
        <v>463</v>
      </c>
      <c r="AZ384" s="94" t="s">
        <v>282</v>
      </c>
      <c r="BA384" s="88" t="s">
        <v>67</v>
      </c>
      <c r="BC384" s="93">
        <f>AW384+AX384</f>
        <v>0</v>
      </c>
      <c r="BD384" s="93">
        <f>H384/(100-BE384)*100</f>
        <v>0</v>
      </c>
      <c r="BE384" s="93">
        <v>0</v>
      </c>
      <c r="BF384" s="93">
        <f>O384</f>
        <v>10.125837568000001</v>
      </c>
      <c r="BH384" s="93">
        <f>G384*AO384</f>
        <v>0</v>
      </c>
      <c r="BI384" s="93">
        <f>G384*AP384</f>
        <v>0</v>
      </c>
      <c r="BJ384" s="93">
        <f>G384*H384</f>
        <v>0</v>
      </c>
      <c r="BK384" s="93"/>
      <c r="BL384" s="93">
        <v>33</v>
      </c>
      <c r="BW384" s="93" t="str">
        <f>I384</f>
        <v>21</v>
      </c>
      <c r="BX384" s="2" t="s">
        <v>504</v>
      </c>
    </row>
    <row r="385" spans="1:16" s="81" customFormat="1" x14ac:dyDescent="0.25">
      <c r="A385" s="110"/>
      <c r="B385" s="95"/>
      <c r="C385" s="95"/>
      <c r="D385" s="76" t="s">
        <v>54</v>
      </c>
      <c r="E385" s="76" t="s">
        <v>469</v>
      </c>
      <c r="F385" s="95"/>
      <c r="G385" s="96">
        <v>0</v>
      </c>
      <c r="H385" s="97"/>
      <c r="I385" s="95"/>
      <c r="J385" s="95"/>
      <c r="K385" s="95"/>
      <c r="L385" s="95"/>
      <c r="M385" s="95"/>
      <c r="N385" s="95"/>
      <c r="O385" s="95"/>
      <c r="P385" s="95"/>
    </row>
    <row r="386" spans="1:16" s="81" customFormat="1" x14ac:dyDescent="0.25">
      <c r="A386" s="110"/>
      <c r="B386" s="95"/>
      <c r="C386" s="95"/>
      <c r="D386" s="76" t="s">
        <v>505</v>
      </c>
      <c r="E386" s="76" t="s">
        <v>471</v>
      </c>
      <c r="F386" s="95"/>
      <c r="G386" s="96">
        <v>17.748000000000001</v>
      </c>
      <c r="H386" s="97"/>
      <c r="I386" s="95"/>
      <c r="J386" s="95"/>
      <c r="K386" s="95"/>
      <c r="L386" s="95"/>
      <c r="M386" s="95"/>
      <c r="N386" s="95"/>
      <c r="O386" s="95"/>
      <c r="P386" s="95"/>
    </row>
    <row r="387" spans="1:16" s="81" customFormat="1" x14ac:dyDescent="0.25">
      <c r="A387" s="110"/>
      <c r="B387" s="95"/>
      <c r="C387" s="95"/>
      <c r="D387" s="76" t="s">
        <v>506</v>
      </c>
      <c r="E387" s="76" t="s">
        <v>54</v>
      </c>
      <c r="F387" s="95"/>
      <c r="G387" s="96">
        <v>14.688000000000001</v>
      </c>
      <c r="H387" s="97"/>
      <c r="I387" s="95"/>
      <c r="J387" s="95"/>
      <c r="K387" s="95"/>
      <c r="L387" s="95"/>
      <c r="M387" s="95"/>
      <c r="N387" s="95"/>
      <c r="O387" s="95"/>
      <c r="P387" s="95"/>
    </row>
    <row r="388" spans="1:16" s="81" customFormat="1" x14ac:dyDescent="0.25">
      <c r="A388" s="110"/>
      <c r="B388" s="95"/>
      <c r="C388" s="95"/>
      <c r="D388" s="76" t="s">
        <v>507</v>
      </c>
      <c r="E388" s="76" t="s">
        <v>474</v>
      </c>
      <c r="F388" s="95"/>
      <c r="G388" s="96">
        <v>34.126350000000002</v>
      </c>
      <c r="H388" s="97"/>
      <c r="I388" s="95"/>
      <c r="J388" s="95"/>
      <c r="K388" s="95"/>
      <c r="L388" s="95"/>
      <c r="M388" s="95"/>
      <c r="N388" s="95"/>
      <c r="O388" s="95"/>
      <c r="P388" s="95"/>
    </row>
    <row r="389" spans="1:16" s="81" customFormat="1" x14ac:dyDescent="0.25">
      <c r="A389" s="110"/>
      <c r="B389" s="95"/>
      <c r="C389" s="95"/>
      <c r="D389" s="76" t="s">
        <v>54</v>
      </c>
      <c r="E389" s="76" t="s">
        <v>475</v>
      </c>
      <c r="F389" s="95"/>
      <c r="G389" s="96">
        <v>0</v>
      </c>
      <c r="H389" s="97"/>
      <c r="I389" s="95"/>
      <c r="J389" s="95"/>
      <c r="K389" s="95"/>
      <c r="L389" s="95"/>
      <c r="M389" s="95"/>
      <c r="N389" s="95"/>
      <c r="O389" s="95"/>
      <c r="P389" s="95"/>
    </row>
    <row r="390" spans="1:16" s="81" customFormat="1" x14ac:dyDescent="0.25">
      <c r="A390" s="110"/>
      <c r="B390" s="95"/>
      <c r="C390" s="95"/>
      <c r="D390" s="76" t="s">
        <v>508</v>
      </c>
      <c r="E390" s="76" t="s">
        <v>471</v>
      </c>
      <c r="F390" s="95"/>
      <c r="G390" s="96">
        <v>16.965</v>
      </c>
      <c r="H390" s="97"/>
      <c r="I390" s="95"/>
      <c r="J390" s="95"/>
      <c r="K390" s="95"/>
      <c r="L390" s="95"/>
      <c r="M390" s="95"/>
      <c r="N390" s="95"/>
      <c r="O390" s="95"/>
      <c r="P390" s="95"/>
    </row>
    <row r="391" spans="1:16" s="81" customFormat="1" x14ac:dyDescent="0.25">
      <c r="A391" s="110"/>
      <c r="B391" s="95"/>
      <c r="C391" s="95"/>
      <c r="D391" s="76" t="s">
        <v>509</v>
      </c>
      <c r="E391" s="76" t="s">
        <v>478</v>
      </c>
      <c r="F391" s="95"/>
      <c r="G391" s="96">
        <v>14.0985</v>
      </c>
      <c r="H391" s="97"/>
      <c r="I391" s="95"/>
      <c r="J391" s="95"/>
      <c r="K391" s="95"/>
      <c r="L391" s="95"/>
      <c r="M391" s="95"/>
      <c r="N391" s="95"/>
      <c r="O391" s="95"/>
      <c r="P391" s="95"/>
    </row>
    <row r="392" spans="1:16" s="81" customFormat="1" x14ac:dyDescent="0.25">
      <c r="A392" s="110"/>
      <c r="B392" s="95"/>
      <c r="C392" s="95"/>
      <c r="D392" s="76" t="s">
        <v>510</v>
      </c>
      <c r="E392" s="76" t="s">
        <v>480</v>
      </c>
      <c r="F392" s="95"/>
      <c r="G392" s="96">
        <v>61.899749999999997</v>
      </c>
      <c r="H392" s="97"/>
      <c r="I392" s="95"/>
      <c r="J392" s="95"/>
      <c r="K392" s="95"/>
      <c r="L392" s="95"/>
      <c r="M392" s="95"/>
      <c r="N392" s="95"/>
      <c r="O392" s="95"/>
      <c r="P392" s="95"/>
    </row>
    <row r="393" spans="1:16" s="81" customFormat="1" x14ac:dyDescent="0.25">
      <c r="A393" s="110"/>
      <c r="B393" s="95"/>
      <c r="C393" s="95"/>
      <c r="D393" s="76" t="s">
        <v>511</v>
      </c>
      <c r="E393" s="76" t="s">
        <v>482</v>
      </c>
      <c r="F393" s="95"/>
      <c r="G393" s="96">
        <v>7.7797499999999999</v>
      </c>
      <c r="H393" s="97"/>
      <c r="I393" s="95"/>
      <c r="J393" s="95"/>
      <c r="K393" s="95"/>
      <c r="L393" s="95"/>
      <c r="M393" s="95"/>
      <c r="N393" s="95"/>
      <c r="O393" s="95"/>
      <c r="P393" s="95"/>
    </row>
    <row r="394" spans="1:16" s="81" customFormat="1" x14ac:dyDescent="0.25">
      <c r="A394" s="110"/>
      <c r="B394" s="95"/>
      <c r="C394" s="95"/>
      <c r="D394" s="76" t="s">
        <v>511</v>
      </c>
      <c r="E394" s="76" t="s">
        <v>483</v>
      </c>
      <c r="F394" s="95"/>
      <c r="G394" s="96">
        <v>7.7797499999999999</v>
      </c>
      <c r="H394" s="97"/>
      <c r="I394" s="95"/>
      <c r="J394" s="95"/>
      <c r="K394" s="95"/>
      <c r="L394" s="95"/>
      <c r="M394" s="95"/>
      <c r="N394" s="95"/>
      <c r="O394" s="95"/>
      <c r="P394" s="95"/>
    </row>
    <row r="395" spans="1:16" s="81" customFormat="1" x14ac:dyDescent="0.25">
      <c r="A395" s="110"/>
      <c r="B395" s="95"/>
      <c r="C395" s="95"/>
      <c r="D395" s="76" t="s">
        <v>512</v>
      </c>
      <c r="E395" s="76" t="s">
        <v>485</v>
      </c>
      <c r="F395" s="95"/>
      <c r="G395" s="96">
        <v>16.7195</v>
      </c>
      <c r="H395" s="97"/>
      <c r="I395" s="95"/>
      <c r="J395" s="95"/>
      <c r="K395" s="95"/>
      <c r="L395" s="95"/>
      <c r="M395" s="95"/>
      <c r="N395" s="95"/>
      <c r="O395" s="95"/>
      <c r="P395" s="95"/>
    </row>
    <row r="396" spans="1:16" s="81" customFormat="1" x14ac:dyDescent="0.25">
      <c r="A396" s="110"/>
      <c r="B396" s="95"/>
      <c r="C396" s="95"/>
      <c r="D396" s="76" t="s">
        <v>513</v>
      </c>
      <c r="E396" s="76" t="s">
        <v>487</v>
      </c>
      <c r="F396" s="95"/>
      <c r="G396" s="96">
        <v>10.501749999999999</v>
      </c>
      <c r="H396" s="97"/>
      <c r="I396" s="95"/>
      <c r="J396" s="95"/>
      <c r="K396" s="95"/>
      <c r="L396" s="95"/>
      <c r="M396" s="95"/>
      <c r="N396" s="95"/>
      <c r="O396" s="95"/>
      <c r="P396" s="95"/>
    </row>
    <row r="397" spans="1:16" s="81" customFormat="1" x14ac:dyDescent="0.25">
      <c r="A397" s="110"/>
      <c r="B397" s="95"/>
      <c r="C397" s="95"/>
      <c r="D397" s="76" t="s">
        <v>514</v>
      </c>
      <c r="E397" s="76" t="s">
        <v>489</v>
      </c>
      <c r="F397" s="95"/>
      <c r="G397" s="96">
        <v>6.7532500000000004</v>
      </c>
      <c r="H397" s="97"/>
      <c r="I397" s="95"/>
      <c r="J397" s="95"/>
      <c r="K397" s="95"/>
      <c r="L397" s="95"/>
      <c r="M397" s="95"/>
      <c r="N397" s="95"/>
      <c r="O397" s="95"/>
      <c r="P397" s="95"/>
    </row>
    <row r="398" spans="1:16" s="81" customFormat="1" x14ac:dyDescent="0.25">
      <c r="A398" s="110"/>
      <c r="B398" s="95"/>
      <c r="C398" s="95"/>
      <c r="D398" s="76" t="s">
        <v>515</v>
      </c>
      <c r="E398" s="76" t="s">
        <v>491</v>
      </c>
      <c r="F398" s="95"/>
      <c r="G398" s="96">
        <v>5.3550000000000004</v>
      </c>
      <c r="H398" s="97"/>
      <c r="I398" s="95"/>
      <c r="J398" s="95"/>
      <c r="K398" s="95"/>
      <c r="L398" s="95"/>
      <c r="M398" s="95"/>
      <c r="N398" s="95"/>
      <c r="O398" s="95"/>
      <c r="P398" s="95"/>
    </row>
    <row r="399" spans="1:16" s="81" customFormat="1" x14ac:dyDescent="0.25">
      <c r="A399" s="110"/>
      <c r="B399" s="95"/>
      <c r="C399" s="95"/>
      <c r="D399" s="76" t="s">
        <v>516</v>
      </c>
      <c r="E399" s="76" t="s">
        <v>493</v>
      </c>
      <c r="F399" s="95"/>
      <c r="G399" s="96">
        <v>4.3732499999999996</v>
      </c>
      <c r="H399" s="97"/>
      <c r="I399" s="95"/>
      <c r="J399" s="95"/>
      <c r="K399" s="95"/>
      <c r="L399" s="95"/>
      <c r="M399" s="95"/>
      <c r="N399" s="95"/>
      <c r="O399" s="95"/>
      <c r="P399" s="95"/>
    </row>
    <row r="400" spans="1:16" s="81" customFormat="1" x14ac:dyDescent="0.25">
      <c r="A400" s="110"/>
      <c r="B400" s="95"/>
      <c r="C400" s="95"/>
      <c r="D400" s="76" t="s">
        <v>517</v>
      </c>
      <c r="E400" s="76" t="s">
        <v>495</v>
      </c>
      <c r="F400" s="95"/>
      <c r="G400" s="96">
        <v>7.4002499999999998</v>
      </c>
      <c r="H400" s="97"/>
      <c r="I400" s="95"/>
      <c r="J400" s="95"/>
      <c r="K400" s="95"/>
      <c r="L400" s="95"/>
      <c r="M400" s="95"/>
      <c r="N400" s="95"/>
      <c r="O400" s="95"/>
      <c r="P400" s="95"/>
    </row>
    <row r="401" spans="1:76" s="81" customFormat="1" x14ac:dyDescent="0.25">
      <c r="A401" s="110"/>
      <c r="B401" s="95"/>
      <c r="C401" s="95"/>
      <c r="D401" s="76" t="s">
        <v>518</v>
      </c>
      <c r="E401" s="76" t="s">
        <v>497</v>
      </c>
      <c r="F401" s="95"/>
      <c r="G401" s="96">
        <v>10.32525</v>
      </c>
      <c r="H401" s="97"/>
      <c r="I401" s="95"/>
      <c r="J401" s="95"/>
      <c r="K401" s="95"/>
      <c r="L401" s="95"/>
      <c r="M401" s="95"/>
      <c r="N401" s="95"/>
      <c r="O401" s="95"/>
      <c r="P401" s="95"/>
    </row>
    <row r="402" spans="1:76" s="81" customFormat="1" x14ac:dyDescent="0.25">
      <c r="A402" s="110"/>
      <c r="B402" s="95"/>
      <c r="C402" s="95"/>
      <c r="D402" s="76" t="s">
        <v>519</v>
      </c>
      <c r="E402" s="76" t="s">
        <v>501</v>
      </c>
      <c r="F402" s="95"/>
      <c r="G402" s="96">
        <v>24.920999999999999</v>
      </c>
      <c r="H402" s="97"/>
      <c r="I402" s="95"/>
      <c r="J402" s="95"/>
      <c r="K402" s="95"/>
      <c r="L402" s="95"/>
      <c r="M402" s="95"/>
      <c r="N402" s="95"/>
      <c r="O402" s="95"/>
      <c r="P402" s="95"/>
    </row>
    <row r="403" spans="1:76" s="81" customFormat="1" x14ac:dyDescent="0.25">
      <c r="A403" s="110"/>
      <c r="B403" s="95"/>
      <c r="C403" s="95"/>
      <c r="D403" s="76" t="s">
        <v>520</v>
      </c>
      <c r="E403" s="76" t="s">
        <v>499</v>
      </c>
      <c r="F403" s="95"/>
      <c r="G403" s="96">
        <v>4.47525</v>
      </c>
      <c r="H403" s="97"/>
      <c r="I403" s="95"/>
      <c r="J403" s="95"/>
      <c r="K403" s="95"/>
      <c r="L403" s="95"/>
      <c r="M403" s="95"/>
      <c r="N403" s="95"/>
      <c r="O403" s="95"/>
      <c r="P403" s="95"/>
    </row>
    <row r="404" spans="1:76" s="81" customFormat="1" x14ac:dyDescent="0.25">
      <c r="A404" s="66" t="s">
        <v>521</v>
      </c>
      <c r="B404" s="72" t="s">
        <v>55</v>
      </c>
      <c r="C404" s="72" t="s">
        <v>522</v>
      </c>
      <c r="D404" s="174" t="s">
        <v>523</v>
      </c>
      <c r="E404" s="174"/>
      <c r="F404" s="72" t="s">
        <v>192</v>
      </c>
      <c r="G404" s="90">
        <v>265.90960000000001</v>
      </c>
      <c r="H404" s="91"/>
      <c r="I404" s="92" t="s">
        <v>63</v>
      </c>
      <c r="J404" s="90">
        <f>G404*AO404</f>
        <v>0</v>
      </c>
      <c r="K404" s="90">
        <f>G404*AP404</f>
        <v>0</v>
      </c>
      <c r="L404" s="90">
        <f>G404*H404</f>
        <v>0</v>
      </c>
      <c r="M404" s="90">
        <f>L404*(1+BW404/100)</f>
        <v>0</v>
      </c>
      <c r="N404" s="90">
        <v>0</v>
      </c>
      <c r="O404" s="90">
        <f>G404*N404</f>
        <v>0</v>
      </c>
      <c r="P404" s="92" t="s">
        <v>64</v>
      </c>
      <c r="Z404" s="93">
        <f>IF(AQ404="5",BJ404,0)</f>
        <v>0</v>
      </c>
      <c r="AB404" s="93">
        <f>IF(AQ404="1",BH404,0)</f>
        <v>0</v>
      </c>
      <c r="AC404" s="93">
        <f>IF(AQ404="1",BI404,0)</f>
        <v>0</v>
      </c>
      <c r="AD404" s="93">
        <f>IF(AQ404="7",BH404,0)</f>
        <v>0</v>
      </c>
      <c r="AE404" s="93">
        <f>IF(AQ404="7",BI404,0)</f>
        <v>0</v>
      </c>
      <c r="AF404" s="93">
        <f>IF(AQ404="2",BH404,0)</f>
        <v>0</v>
      </c>
      <c r="AG404" s="93">
        <f>IF(AQ404="2",BI404,0)</f>
        <v>0</v>
      </c>
      <c r="AH404" s="93">
        <f>IF(AQ404="0",BJ404,0)</f>
        <v>0</v>
      </c>
      <c r="AI404" s="88" t="s">
        <v>55</v>
      </c>
      <c r="AJ404" s="93">
        <f>IF(AN404=0,L404,0)</f>
        <v>0</v>
      </c>
      <c r="AK404" s="93">
        <f>IF(AN404=12,L404,0)</f>
        <v>0</v>
      </c>
      <c r="AL404" s="93">
        <f>IF(AN404=21,L404,0)</f>
        <v>0</v>
      </c>
      <c r="AN404" s="93">
        <v>21</v>
      </c>
      <c r="AO404" s="93">
        <f>H404*0</f>
        <v>0</v>
      </c>
      <c r="AP404" s="93">
        <f>H404*(1-0)</f>
        <v>0</v>
      </c>
      <c r="AQ404" s="94" t="s">
        <v>59</v>
      </c>
      <c r="AV404" s="93">
        <f>AW404+AX404</f>
        <v>0</v>
      </c>
      <c r="AW404" s="93">
        <f>G404*AO404</f>
        <v>0</v>
      </c>
      <c r="AX404" s="93">
        <f>G404*AP404</f>
        <v>0</v>
      </c>
      <c r="AY404" s="94" t="s">
        <v>463</v>
      </c>
      <c r="AZ404" s="94" t="s">
        <v>282</v>
      </c>
      <c r="BA404" s="88" t="s">
        <v>67</v>
      </c>
      <c r="BC404" s="93">
        <f>AW404+AX404</f>
        <v>0</v>
      </c>
      <c r="BD404" s="93">
        <f>H404/(100-BE404)*100</f>
        <v>0</v>
      </c>
      <c r="BE404" s="93">
        <v>0</v>
      </c>
      <c r="BF404" s="93">
        <f>O404</f>
        <v>0</v>
      </c>
      <c r="BH404" s="93">
        <f>G404*AO404</f>
        <v>0</v>
      </c>
      <c r="BI404" s="93">
        <f>G404*AP404</f>
        <v>0</v>
      </c>
      <c r="BJ404" s="93">
        <f>G404*H404</f>
        <v>0</v>
      </c>
      <c r="BK404" s="93"/>
      <c r="BL404" s="93">
        <v>33</v>
      </c>
      <c r="BW404" s="93" t="str">
        <f>I404</f>
        <v>21</v>
      </c>
      <c r="BX404" s="2" t="s">
        <v>523</v>
      </c>
    </row>
    <row r="405" spans="1:76" s="81" customFormat="1" x14ac:dyDescent="0.25">
      <c r="A405" s="109" t="s">
        <v>54</v>
      </c>
      <c r="B405" s="74" t="s">
        <v>55</v>
      </c>
      <c r="C405" s="74" t="s">
        <v>317</v>
      </c>
      <c r="D405" s="180" t="s">
        <v>524</v>
      </c>
      <c r="E405" s="180"/>
      <c r="F405" s="85" t="s">
        <v>4</v>
      </c>
      <c r="G405" s="85" t="s">
        <v>4</v>
      </c>
      <c r="H405" s="98"/>
      <c r="I405" s="85" t="s">
        <v>4</v>
      </c>
      <c r="J405" s="86">
        <f>SUM(J406:J467)</f>
        <v>0</v>
      </c>
      <c r="K405" s="86">
        <f>SUM(K406:K467)</f>
        <v>0</v>
      </c>
      <c r="L405" s="86">
        <f>SUM(L406:L467)</f>
        <v>0</v>
      </c>
      <c r="M405" s="86">
        <f>SUM(M406:M467)</f>
        <v>0</v>
      </c>
      <c r="N405" s="87" t="s">
        <v>54</v>
      </c>
      <c r="O405" s="86">
        <f>SUM(O406:O467)</f>
        <v>142.87554899149998</v>
      </c>
      <c r="P405" s="87" t="s">
        <v>54</v>
      </c>
      <c r="AI405" s="88" t="s">
        <v>55</v>
      </c>
      <c r="AS405" s="89">
        <f>SUM(AJ406:AJ467)</f>
        <v>0</v>
      </c>
      <c r="AT405" s="89">
        <f>SUM(AK406:AK467)</f>
        <v>0</v>
      </c>
      <c r="AU405" s="89">
        <f>SUM(AL406:AL467)</f>
        <v>0</v>
      </c>
    </row>
    <row r="406" spans="1:76" s="81" customFormat="1" x14ac:dyDescent="0.25">
      <c r="A406" s="66" t="s">
        <v>525</v>
      </c>
      <c r="B406" s="72" t="s">
        <v>55</v>
      </c>
      <c r="C406" s="72" t="s">
        <v>526</v>
      </c>
      <c r="D406" s="174" t="s">
        <v>527</v>
      </c>
      <c r="E406" s="174"/>
      <c r="F406" s="72" t="s">
        <v>192</v>
      </c>
      <c r="G406" s="90">
        <v>12.9374</v>
      </c>
      <c r="H406" s="91"/>
      <c r="I406" s="92" t="s">
        <v>63</v>
      </c>
      <c r="J406" s="90">
        <f>G406*AO406</f>
        <v>0</v>
      </c>
      <c r="K406" s="90">
        <f>G406*AP406</f>
        <v>0</v>
      </c>
      <c r="L406" s="90">
        <f>G406*H406</f>
        <v>0</v>
      </c>
      <c r="M406" s="90">
        <f>L406*(1+BW406/100)</f>
        <v>0</v>
      </c>
      <c r="N406" s="90">
        <v>4.6460000000000001E-2</v>
      </c>
      <c r="O406" s="90">
        <f>G406*N406</f>
        <v>0.60107160400000004</v>
      </c>
      <c r="P406" s="92" t="s">
        <v>64</v>
      </c>
      <c r="Z406" s="93">
        <f>IF(AQ406="5",BJ406,0)</f>
        <v>0</v>
      </c>
      <c r="AB406" s="93">
        <f>IF(AQ406="1",BH406,0)</f>
        <v>0</v>
      </c>
      <c r="AC406" s="93">
        <f>IF(AQ406="1",BI406,0)</f>
        <v>0</v>
      </c>
      <c r="AD406" s="93">
        <f>IF(AQ406="7",BH406,0)</f>
        <v>0</v>
      </c>
      <c r="AE406" s="93">
        <f>IF(AQ406="7",BI406,0)</f>
        <v>0</v>
      </c>
      <c r="AF406" s="93">
        <f>IF(AQ406="2",BH406,0)</f>
        <v>0</v>
      </c>
      <c r="AG406" s="93">
        <f>IF(AQ406="2",BI406,0)</f>
        <v>0</v>
      </c>
      <c r="AH406" s="93">
        <f>IF(AQ406="0",BJ406,0)</f>
        <v>0</v>
      </c>
      <c r="AI406" s="88" t="s">
        <v>55</v>
      </c>
      <c r="AJ406" s="93">
        <f>IF(AN406=0,L406,0)</f>
        <v>0</v>
      </c>
      <c r="AK406" s="93">
        <f>IF(AN406=12,L406,0)</f>
        <v>0</v>
      </c>
      <c r="AL406" s="93">
        <f>IF(AN406=21,L406,0)</f>
        <v>0</v>
      </c>
      <c r="AN406" s="93">
        <v>21</v>
      </c>
      <c r="AO406" s="93">
        <f>H406*0.593456017</f>
        <v>0</v>
      </c>
      <c r="AP406" s="93">
        <f>H406*(1-0.593456017)</f>
        <v>0</v>
      </c>
      <c r="AQ406" s="94" t="s">
        <v>59</v>
      </c>
      <c r="AV406" s="93">
        <f>AW406+AX406</f>
        <v>0</v>
      </c>
      <c r="AW406" s="93">
        <f>G406*AO406</f>
        <v>0</v>
      </c>
      <c r="AX406" s="93">
        <f>G406*AP406</f>
        <v>0</v>
      </c>
      <c r="AY406" s="94" t="s">
        <v>528</v>
      </c>
      <c r="AZ406" s="94" t="s">
        <v>282</v>
      </c>
      <c r="BA406" s="88" t="s">
        <v>67</v>
      </c>
      <c r="BC406" s="93">
        <f>AW406+AX406</f>
        <v>0</v>
      </c>
      <c r="BD406" s="93">
        <f>H406/(100-BE406)*100</f>
        <v>0</v>
      </c>
      <c r="BE406" s="93">
        <v>0</v>
      </c>
      <c r="BF406" s="93">
        <f>O406</f>
        <v>0.60107160400000004</v>
      </c>
      <c r="BH406" s="93">
        <f>G406*AO406</f>
        <v>0</v>
      </c>
      <c r="BI406" s="93">
        <f>G406*AP406</f>
        <v>0</v>
      </c>
      <c r="BJ406" s="93">
        <f>G406*H406</f>
        <v>0</v>
      </c>
      <c r="BK406" s="93"/>
      <c r="BL406" s="93">
        <v>34</v>
      </c>
      <c r="BW406" s="93" t="str">
        <f>I406</f>
        <v>21</v>
      </c>
      <c r="BX406" s="2" t="s">
        <v>527</v>
      </c>
    </row>
    <row r="407" spans="1:76" s="81" customFormat="1" x14ac:dyDescent="0.25">
      <c r="A407" s="110"/>
      <c r="B407" s="95"/>
      <c r="C407" s="95"/>
      <c r="D407" s="76" t="s">
        <v>54</v>
      </c>
      <c r="E407" s="76" t="s">
        <v>299</v>
      </c>
      <c r="F407" s="95"/>
      <c r="G407" s="96">
        <v>0</v>
      </c>
      <c r="H407" s="97"/>
      <c r="I407" s="95"/>
      <c r="J407" s="95"/>
      <c r="K407" s="95"/>
      <c r="L407" s="95"/>
      <c r="M407" s="95"/>
      <c r="N407" s="95"/>
      <c r="O407" s="95"/>
      <c r="P407" s="95"/>
    </row>
    <row r="408" spans="1:76" s="81" customFormat="1" x14ac:dyDescent="0.25">
      <c r="A408" s="110"/>
      <c r="B408" s="95"/>
      <c r="C408" s="95"/>
      <c r="D408" s="76" t="s">
        <v>529</v>
      </c>
      <c r="E408" s="76" t="s">
        <v>54</v>
      </c>
      <c r="F408" s="95"/>
      <c r="G408" s="96">
        <v>3.4100999999999999</v>
      </c>
      <c r="H408" s="97"/>
      <c r="I408" s="95"/>
      <c r="J408" s="95"/>
      <c r="K408" s="95"/>
      <c r="L408" s="95"/>
      <c r="M408" s="95"/>
      <c r="N408" s="95"/>
      <c r="O408" s="95"/>
      <c r="P408" s="95"/>
    </row>
    <row r="409" spans="1:76" s="81" customFormat="1" x14ac:dyDescent="0.25">
      <c r="A409" s="110"/>
      <c r="B409" s="95"/>
      <c r="C409" s="95"/>
      <c r="D409" s="76" t="s">
        <v>530</v>
      </c>
      <c r="E409" s="76" t="s">
        <v>54</v>
      </c>
      <c r="F409" s="95"/>
      <c r="G409" s="96">
        <v>4.3789999999999996</v>
      </c>
      <c r="H409" s="97"/>
      <c r="I409" s="95"/>
      <c r="J409" s="95"/>
      <c r="K409" s="95"/>
      <c r="L409" s="95"/>
      <c r="M409" s="95"/>
      <c r="N409" s="95"/>
      <c r="O409" s="95"/>
      <c r="P409" s="95"/>
    </row>
    <row r="410" spans="1:76" s="81" customFormat="1" x14ac:dyDescent="0.25">
      <c r="A410" s="110"/>
      <c r="B410" s="95"/>
      <c r="C410" s="95"/>
      <c r="D410" s="76" t="s">
        <v>54</v>
      </c>
      <c r="E410" s="76" t="s">
        <v>308</v>
      </c>
      <c r="F410" s="95"/>
      <c r="G410" s="96">
        <v>0</v>
      </c>
      <c r="H410" s="97"/>
      <c r="I410" s="95"/>
      <c r="J410" s="95"/>
      <c r="K410" s="95"/>
      <c r="L410" s="95"/>
      <c r="M410" s="95"/>
      <c r="N410" s="95"/>
      <c r="O410" s="95"/>
      <c r="P410" s="95"/>
    </row>
    <row r="411" spans="1:76" s="81" customFormat="1" x14ac:dyDescent="0.25">
      <c r="A411" s="110"/>
      <c r="B411" s="95"/>
      <c r="C411" s="95"/>
      <c r="D411" s="76" t="s">
        <v>531</v>
      </c>
      <c r="E411" s="76" t="s">
        <v>54</v>
      </c>
      <c r="F411" s="95"/>
      <c r="G411" s="96">
        <v>2.9834999999999998</v>
      </c>
      <c r="H411" s="97"/>
      <c r="I411" s="95"/>
      <c r="J411" s="95"/>
      <c r="K411" s="95"/>
      <c r="L411" s="95"/>
      <c r="M411" s="95"/>
      <c r="N411" s="95"/>
      <c r="O411" s="95"/>
      <c r="P411" s="95"/>
    </row>
    <row r="412" spans="1:76" s="81" customFormat="1" x14ac:dyDescent="0.25">
      <c r="A412" s="110"/>
      <c r="B412" s="95"/>
      <c r="C412" s="95"/>
      <c r="D412" s="76" t="s">
        <v>532</v>
      </c>
      <c r="E412" s="76" t="s">
        <v>54</v>
      </c>
      <c r="F412" s="95"/>
      <c r="G412" s="96">
        <v>2.1648000000000001</v>
      </c>
      <c r="H412" s="97"/>
      <c r="I412" s="95"/>
      <c r="J412" s="95"/>
      <c r="K412" s="95"/>
      <c r="L412" s="95"/>
      <c r="M412" s="95"/>
      <c r="N412" s="95"/>
      <c r="O412" s="95"/>
      <c r="P412" s="95"/>
    </row>
    <row r="413" spans="1:76" s="81" customFormat="1" x14ac:dyDescent="0.25">
      <c r="A413" s="66" t="s">
        <v>533</v>
      </c>
      <c r="B413" s="72" t="s">
        <v>55</v>
      </c>
      <c r="C413" s="72" t="s">
        <v>534</v>
      </c>
      <c r="D413" s="174" t="s">
        <v>535</v>
      </c>
      <c r="E413" s="174"/>
      <c r="F413" s="72" t="s">
        <v>192</v>
      </c>
      <c r="G413" s="90">
        <v>74.696370000000002</v>
      </c>
      <c r="H413" s="91"/>
      <c r="I413" s="92" t="s">
        <v>63</v>
      </c>
      <c r="J413" s="90">
        <f>G413*AO413</f>
        <v>0</v>
      </c>
      <c r="K413" s="90">
        <f>G413*AP413</f>
        <v>0</v>
      </c>
      <c r="L413" s="90">
        <f>G413*H413</f>
        <v>0</v>
      </c>
      <c r="M413" s="90">
        <f>L413*(1+BW413/100)</f>
        <v>0</v>
      </c>
      <c r="N413" s="90">
        <v>5.654E-2</v>
      </c>
      <c r="O413" s="90">
        <f>G413*N413</f>
        <v>4.2233327597999999</v>
      </c>
      <c r="P413" s="92" t="s">
        <v>64</v>
      </c>
      <c r="Z413" s="93">
        <f>IF(AQ413="5",BJ413,0)</f>
        <v>0</v>
      </c>
      <c r="AB413" s="93">
        <f>IF(AQ413="1",BH413,0)</f>
        <v>0</v>
      </c>
      <c r="AC413" s="93">
        <f>IF(AQ413="1",BI413,0)</f>
        <v>0</v>
      </c>
      <c r="AD413" s="93">
        <f>IF(AQ413="7",BH413,0)</f>
        <v>0</v>
      </c>
      <c r="AE413" s="93">
        <f>IF(AQ413="7",BI413,0)</f>
        <v>0</v>
      </c>
      <c r="AF413" s="93">
        <f>IF(AQ413="2",BH413,0)</f>
        <v>0</v>
      </c>
      <c r="AG413" s="93">
        <f>IF(AQ413="2",BI413,0)</f>
        <v>0</v>
      </c>
      <c r="AH413" s="93">
        <f>IF(AQ413="0",BJ413,0)</f>
        <v>0</v>
      </c>
      <c r="AI413" s="88" t="s">
        <v>55</v>
      </c>
      <c r="AJ413" s="93">
        <f>IF(AN413=0,L413,0)</f>
        <v>0</v>
      </c>
      <c r="AK413" s="93">
        <f>IF(AN413=12,L413,0)</f>
        <v>0</v>
      </c>
      <c r="AL413" s="93">
        <f>IF(AN413=21,L413,0)</f>
        <v>0</v>
      </c>
      <c r="AN413" s="93">
        <v>21</v>
      </c>
      <c r="AO413" s="93">
        <f>H413*0.6587037</f>
        <v>0</v>
      </c>
      <c r="AP413" s="93">
        <f>H413*(1-0.6587037)</f>
        <v>0</v>
      </c>
      <c r="AQ413" s="94" t="s">
        <v>59</v>
      </c>
      <c r="AV413" s="93">
        <f>AW413+AX413</f>
        <v>0</v>
      </c>
      <c r="AW413" s="93">
        <f>G413*AO413</f>
        <v>0</v>
      </c>
      <c r="AX413" s="93">
        <f>G413*AP413</f>
        <v>0</v>
      </c>
      <c r="AY413" s="94" t="s">
        <v>528</v>
      </c>
      <c r="AZ413" s="94" t="s">
        <v>282</v>
      </c>
      <c r="BA413" s="88" t="s">
        <v>67</v>
      </c>
      <c r="BC413" s="93">
        <f>AW413+AX413</f>
        <v>0</v>
      </c>
      <c r="BD413" s="93">
        <f>H413/(100-BE413)*100</f>
        <v>0</v>
      </c>
      <c r="BE413" s="93">
        <v>0</v>
      </c>
      <c r="BF413" s="93">
        <f>O413</f>
        <v>4.2233327597999999</v>
      </c>
      <c r="BH413" s="93">
        <f>G413*AO413</f>
        <v>0</v>
      </c>
      <c r="BI413" s="93">
        <f>G413*AP413</f>
        <v>0</v>
      </c>
      <c r="BJ413" s="93">
        <f>G413*H413</f>
        <v>0</v>
      </c>
      <c r="BK413" s="93"/>
      <c r="BL413" s="93">
        <v>34</v>
      </c>
      <c r="BW413" s="93" t="str">
        <f>I413</f>
        <v>21</v>
      </c>
      <c r="BX413" s="2" t="s">
        <v>535</v>
      </c>
    </row>
    <row r="414" spans="1:76" s="81" customFormat="1" x14ac:dyDescent="0.25">
      <c r="A414" s="110"/>
      <c r="B414" s="95"/>
      <c r="C414" s="95"/>
      <c r="D414" s="76" t="s">
        <v>54</v>
      </c>
      <c r="E414" s="76" t="s">
        <v>299</v>
      </c>
      <c r="F414" s="95"/>
      <c r="G414" s="96">
        <v>0</v>
      </c>
      <c r="H414" s="97"/>
      <c r="I414" s="95"/>
      <c r="J414" s="95"/>
      <c r="K414" s="95"/>
      <c r="L414" s="95"/>
      <c r="M414" s="95"/>
      <c r="N414" s="95"/>
      <c r="O414" s="95"/>
      <c r="P414" s="95"/>
    </row>
    <row r="415" spans="1:76" s="81" customFormat="1" x14ac:dyDescent="0.25">
      <c r="A415" s="110"/>
      <c r="B415" s="95"/>
      <c r="C415" s="95"/>
      <c r="D415" s="76" t="s">
        <v>536</v>
      </c>
      <c r="E415" s="76" t="s">
        <v>54</v>
      </c>
      <c r="F415" s="95"/>
      <c r="G415" s="96">
        <v>23.823499999999999</v>
      </c>
      <c r="H415" s="97"/>
      <c r="I415" s="95"/>
      <c r="J415" s="95"/>
      <c r="K415" s="95"/>
      <c r="L415" s="95"/>
      <c r="M415" s="95"/>
      <c r="N415" s="95"/>
      <c r="O415" s="95"/>
      <c r="P415" s="95"/>
    </row>
    <row r="416" spans="1:76" s="81" customFormat="1" x14ac:dyDescent="0.25">
      <c r="A416" s="110"/>
      <c r="B416" s="95"/>
      <c r="C416" s="95"/>
      <c r="D416" s="76" t="s">
        <v>54</v>
      </c>
      <c r="E416" s="76" t="s">
        <v>308</v>
      </c>
      <c r="F416" s="95"/>
      <c r="G416" s="96">
        <v>0</v>
      </c>
      <c r="H416" s="97"/>
      <c r="I416" s="95"/>
      <c r="J416" s="95"/>
      <c r="K416" s="95"/>
      <c r="L416" s="95"/>
      <c r="M416" s="95"/>
      <c r="N416" s="95"/>
      <c r="O416" s="95"/>
      <c r="P416" s="95"/>
    </row>
    <row r="417" spans="1:76" s="81" customFormat="1" x14ac:dyDescent="0.25">
      <c r="A417" s="110"/>
      <c r="B417" s="95"/>
      <c r="C417" s="95"/>
      <c r="D417" s="76" t="s">
        <v>537</v>
      </c>
      <c r="E417" s="76" t="s">
        <v>54</v>
      </c>
      <c r="F417" s="95"/>
      <c r="G417" s="96">
        <v>19.78762</v>
      </c>
      <c r="H417" s="97"/>
      <c r="I417" s="95"/>
      <c r="J417" s="95"/>
      <c r="K417" s="95"/>
      <c r="L417" s="95"/>
      <c r="M417" s="95"/>
      <c r="N417" s="95"/>
      <c r="O417" s="95"/>
      <c r="P417" s="95"/>
    </row>
    <row r="418" spans="1:76" s="81" customFormat="1" x14ac:dyDescent="0.25">
      <c r="A418" s="110"/>
      <c r="B418" s="95"/>
      <c r="C418" s="95"/>
      <c r="D418" s="76" t="s">
        <v>538</v>
      </c>
      <c r="E418" s="76" t="s">
        <v>54</v>
      </c>
      <c r="F418" s="95"/>
      <c r="G418" s="96">
        <v>4.8555000000000001</v>
      </c>
      <c r="H418" s="97"/>
      <c r="I418" s="95"/>
      <c r="J418" s="95"/>
      <c r="K418" s="95"/>
      <c r="L418" s="95"/>
      <c r="M418" s="95"/>
      <c r="N418" s="95"/>
      <c r="O418" s="95"/>
      <c r="P418" s="95"/>
    </row>
    <row r="419" spans="1:76" s="81" customFormat="1" x14ac:dyDescent="0.25">
      <c r="A419" s="110"/>
      <c r="B419" s="95"/>
      <c r="C419" s="95"/>
      <c r="D419" s="76" t="s">
        <v>539</v>
      </c>
      <c r="E419" s="76" t="s">
        <v>54</v>
      </c>
      <c r="F419" s="95"/>
      <c r="G419" s="96">
        <v>26.229749999999999</v>
      </c>
      <c r="H419" s="97"/>
      <c r="I419" s="95"/>
      <c r="J419" s="95"/>
      <c r="K419" s="95"/>
      <c r="L419" s="95"/>
      <c r="M419" s="95"/>
      <c r="N419" s="95"/>
      <c r="O419" s="95"/>
      <c r="P419" s="95"/>
    </row>
    <row r="420" spans="1:76" s="81" customFormat="1" x14ac:dyDescent="0.25">
      <c r="A420" s="66" t="s">
        <v>540</v>
      </c>
      <c r="B420" s="72" t="s">
        <v>55</v>
      </c>
      <c r="C420" s="72" t="s">
        <v>541</v>
      </c>
      <c r="D420" s="174" t="s">
        <v>542</v>
      </c>
      <c r="E420" s="174"/>
      <c r="F420" s="72" t="s">
        <v>192</v>
      </c>
      <c r="G420" s="90">
        <v>95.243750000000006</v>
      </c>
      <c r="H420" s="91"/>
      <c r="I420" s="92" t="s">
        <v>63</v>
      </c>
      <c r="J420" s="90">
        <f>G420*AO420</f>
        <v>0</v>
      </c>
      <c r="K420" s="90">
        <f>G420*AP420</f>
        <v>0</v>
      </c>
      <c r="L420" s="90">
        <f>G420*H420</f>
        <v>0</v>
      </c>
      <c r="M420" s="90">
        <f>L420*(1+BW420/100)</f>
        <v>0</v>
      </c>
      <c r="N420" s="90">
        <v>7.4709999999999999E-2</v>
      </c>
      <c r="O420" s="90">
        <f>G420*N420</f>
        <v>7.1156605625000005</v>
      </c>
      <c r="P420" s="92" t="s">
        <v>64</v>
      </c>
      <c r="Z420" s="93">
        <f>IF(AQ420="5",BJ420,0)</f>
        <v>0</v>
      </c>
      <c r="AB420" s="93">
        <f>IF(AQ420="1",BH420,0)</f>
        <v>0</v>
      </c>
      <c r="AC420" s="93">
        <f>IF(AQ420="1",BI420,0)</f>
        <v>0</v>
      </c>
      <c r="AD420" s="93">
        <f>IF(AQ420="7",BH420,0)</f>
        <v>0</v>
      </c>
      <c r="AE420" s="93">
        <f>IF(AQ420="7",BI420,0)</f>
        <v>0</v>
      </c>
      <c r="AF420" s="93">
        <f>IF(AQ420="2",BH420,0)</f>
        <v>0</v>
      </c>
      <c r="AG420" s="93">
        <f>IF(AQ420="2",BI420,0)</f>
        <v>0</v>
      </c>
      <c r="AH420" s="93">
        <f>IF(AQ420="0",BJ420,0)</f>
        <v>0</v>
      </c>
      <c r="AI420" s="88" t="s">
        <v>55</v>
      </c>
      <c r="AJ420" s="93">
        <f>IF(AN420=0,L420,0)</f>
        <v>0</v>
      </c>
      <c r="AK420" s="93">
        <f>IF(AN420=12,L420,0)</f>
        <v>0</v>
      </c>
      <c r="AL420" s="93">
        <f>IF(AN420=21,L420,0)</f>
        <v>0</v>
      </c>
      <c r="AN420" s="93">
        <v>21</v>
      </c>
      <c r="AO420" s="93">
        <f>H420*0.695906495</f>
        <v>0</v>
      </c>
      <c r="AP420" s="93">
        <f>H420*(1-0.695906495)</f>
        <v>0</v>
      </c>
      <c r="AQ420" s="94" t="s">
        <v>59</v>
      </c>
      <c r="AV420" s="93">
        <f>AW420+AX420</f>
        <v>0</v>
      </c>
      <c r="AW420" s="93">
        <f>G420*AO420</f>
        <v>0</v>
      </c>
      <c r="AX420" s="93">
        <f>G420*AP420</f>
        <v>0</v>
      </c>
      <c r="AY420" s="94" t="s">
        <v>528</v>
      </c>
      <c r="AZ420" s="94" t="s">
        <v>282</v>
      </c>
      <c r="BA420" s="88" t="s">
        <v>67</v>
      </c>
      <c r="BC420" s="93">
        <f>AW420+AX420</f>
        <v>0</v>
      </c>
      <c r="BD420" s="93">
        <f>H420/(100-BE420)*100</f>
        <v>0</v>
      </c>
      <c r="BE420" s="93">
        <v>0</v>
      </c>
      <c r="BF420" s="93">
        <f>O420</f>
        <v>7.1156605625000005</v>
      </c>
      <c r="BH420" s="93">
        <f>G420*AO420</f>
        <v>0</v>
      </c>
      <c r="BI420" s="93">
        <f>G420*AP420</f>
        <v>0</v>
      </c>
      <c r="BJ420" s="93">
        <f>G420*H420</f>
        <v>0</v>
      </c>
      <c r="BK420" s="93"/>
      <c r="BL420" s="93">
        <v>34</v>
      </c>
      <c r="BW420" s="93" t="str">
        <f>I420</f>
        <v>21</v>
      </c>
      <c r="BX420" s="2" t="s">
        <v>542</v>
      </c>
    </row>
    <row r="421" spans="1:76" s="81" customFormat="1" x14ac:dyDescent="0.25">
      <c r="A421" s="110"/>
      <c r="B421" s="95"/>
      <c r="C421" s="95"/>
      <c r="D421" s="76" t="s">
        <v>54</v>
      </c>
      <c r="E421" s="76" t="s">
        <v>299</v>
      </c>
      <c r="F421" s="95"/>
      <c r="G421" s="96">
        <v>0</v>
      </c>
      <c r="H421" s="97"/>
      <c r="I421" s="95"/>
      <c r="J421" s="95"/>
      <c r="K421" s="95"/>
      <c r="L421" s="95"/>
      <c r="M421" s="95"/>
      <c r="N421" s="95"/>
      <c r="O421" s="95"/>
      <c r="P421" s="95"/>
    </row>
    <row r="422" spans="1:76" s="81" customFormat="1" x14ac:dyDescent="0.25">
      <c r="A422" s="110"/>
      <c r="B422" s="95"/>
      <c r="C422" s="95"/>
      <c r="D422" s="76" t="s">
        <v>543</v>
      </c>
      <c r="E422" s="76" t="s">
        <v>54</v>
      </c>
      <c r="F422" s="95"/>
      <c r="G422" s="96">
        <v>17.327500000000001</v>
      </c>
      <c r="H422" s="97"/>
      <c r="I422" s="95"/>
      <c r="J422" s="95"/>
      <c r="K422" s="95"/>
      <c r="L422" s="95"/>
      <c r="M422" s="95"/>
      <c r="N422" s="95"/>
      <c r="O422" s="95"/>
      <c r="P422" s="95"/>
    </row>
    <row r="423" spans="1:76" s="81" customFormat="1" x14ac:dyDescent="0.25">
      <c r="A423" s="110"/>
      <c r="B423" s="95"/>
      <c r="C423" s="95"/>
      <c r="D423" s="76" t="s">
        <v>544</v>
      </c>
      <c r="E423" s="76" t="s">
        <v>54</v>
      </c>
      <c r="F423" s="95"/>
      <c r="G423" s="96">
        <v>33.64</v>
      </c>
      <c r="H423" s="97"/>
      <c r="I423" s="95"/>
      <c r="J423" s="95"/>
      <c r="K423" s="95"/>
      <c r="L423" s="95"/>
      <c r="M423" s="95"/>
      <c r="N423" s="95"/>
      <c r="O423" s="95"/>
      <c r="P423" s="95"/>
    </row>
    <row r="424" spans="1:76" s="81" customFormat="1" x14ac:dyDescent="0.25">
      <c r="A424" s="110"/>
      <c r="B424" s="95"/>
      <c r="C424" s="95"/>
      <c r="D424" s="76" t="s">
        <v>545</v>
      </c>
      <c r="E424" s="76" t="s">
        <v>54</v>
      </c>
      <c r="F424" s="95"/>
      <c r="G424" s="96">
        <v>7.5149999999999997</v>
      </c>
      <c r="H424" s="97"/>
      <c r="I424" s="95"/>
      <c r="J424" s="95"/>
      <c r="K424" s="95"/>
      <c r="L424" s="95"/>
      <c r="M424" s="95"/>
      <c r="N424" s="95"/>
      <c r="O424" s="95"/>
      <c r="P424" s="95"/>
    </row>
    <row r="425" spans="1:76" s="81" customFormat="1" x14ac:dyDescent="0.25">
      <c r="A425" s="110"/>
      <c r="B425" s="95"/>
      <c r="C425" s="95"/>
      <c r="D425" s="76" t="s">
        <v>546</v>
      </c>
      <c r="E425" s="76" t="s">
        <v>54</v>
      </c>
      <c r="F425" s="95"/>
      <c r="G425" s="96">
        <v>-5.88</v>
      </c>
      <c r="H425" s="97"/>
      <c r="I425" s="95"/>
      <c r="J425" s="95"/>
      <c r="K425" s="95"/>
      <c r="L425" s="95"/>
      <c r="M425" s="95"/>
      <c r="N425" s="95"/>
      <c r="O425" s="95"/>
      <c r="P425" s="95"/>
    </row>
    <row r="426" spans="1:76" s="81" customFormat="1" x14ac:dyDescent="0.25">
      <c r="A426" s="110"/>
      <c r="B426" s="95"/>
      <c r="C426" s="95"/>
      <c r="D426" s="76" t="s">
        <v>54</v>
      </c>
      <c r="E426" s="76" t="s">
        <v>308</v>
      </c>
      <c r="F426" s="95"/>
      <c r="G426" s="96">
        <v>0</v>
      </c>
      <c r="H426" s="97"/>
      <c r="I426" s="95"/>
      <c r="J426" s="95"/>
      <c r="K426" s="95"/>
      <c r="L426" s="95"/>
      <c r="M426" s="95"/>
      <c r="N426" s="95"/>
      <c r="O426" s="95"/>
      <c r="P426" s="95"/>
    </row>
    <row r="427" spans="1:76" s="81" customFormat="1" x14ac:dyDescent="0.25">
      <c r="A427" s="110"/>
      <c r="B427" s="95"/>
      <c r="C427" s="95"/>
      <c r="D427" s="76" t="s">
        <v>547</v>
      </c>
      <c r="E427" s="76" t="s">
        <v>54</v>
      </c>
      <c r="F427" s="95"/>
      <c r="G427" s="96">
        <v>12.71625</v>
      </c>
      <c r="H427" s="97"/>
      <c r="I427" s="95"/>
      <c r="J427" s="95"/>
      <c r="K427" s="95"/>
      <c r="L427" s="95"/>
      <c r="M427" s="95"/>
      <c r="N427" s="95"/>
      <c r="O427" s="95"/>
      <c r="P427" s="95"/>
    </row>
    <row r="428" spans="1:76" s="81" customFormat="1" x14ac:dyDescent="0.25">
      <c r="A428" s="110"/>
      <c r="B428" s="95"/>
      <c r="C428" s="95"/>
      <c r="D428" s="76" t="s">
        <v>548</v>
      </c>
      <c r="E428" s="76" t="s">
        <v>54</v>
      </c>
      <c r="F428" s="95"/>
      <c r="G428" s="96">
        <v>29.925000000000001</v>
      </c>
      <c r="H428" s="97"/>
      <c r="I428" s="95"/>
      <c r="J428" s="95"/>
      <c r="K428" s="95"/>
      <c r="L428" s="95"/>
      <c r="M428" s="95"/>
      <c r="N428" s="95"/>
      <c r="O428" s="95"/>
      <c r="P428" s="95"/>
    </row>
    <row r="429" spans="1:76" s="81" customFormat="1" x14ac:dyDescent="0.25">
      <c r="A429" s="66" t="s">
        <v>549</v>
      </c>
      <c r="B429" s="72" t="s">
        <v>55</v>
      </c>
      <c r="C429" s="72" t="s">
        <v>550</v>
      </c>
      <c r="D429" s="174" t="s">
        <v>551</v>
      </c>
      <c r="E429" s="174"/>
      <c r="F429" s="72" t="s">
        <v>192</v>
      </c>
      <c r="G429" s="90">
        <v>488.40350000000001</v>
      </c>
      <c r="H429" s="91"/>
      <c r="I429" s="92" t="s">
        <v>63</v>
      </c>
      <c r="J429" s="90">
        <f>G429*AO429</f>
        <v>0</v>
      </c>
      <c r="K429" s="90">
        <f>G429*AP429</f>
        <v>0</v>
      </c>
      <c r="L429" s="90">
        <f>G429*H429</f>
        <v>0</v>
      </c>
      <c r="M429" s="90">
        <f>L429*(1+BW429/100)</f>
        <v>0</v>
      </c>
      <c r="N429" s="90">
        <v>0.11219</v>
      </c>
      <c r="O429" s="90">
        <f>G429*N429</f>
        <v>54.793988665000001</v>
      </c>
      <c r="P429" s="92" t="s">
        <v>64</v>
      </c>
      <c r="Z429" s="93">
        <f>IF(AQ429="5",BJ429,0)</f>
        <v>0</v>
      </c>
      <c r="AB429" s="93">
        <f>IF(AQ429="1",BH429,0)</f>
        <v>0</v>
      </c>
      <c r="AC429" s="93">
        <f>IF(AQ429="1",BI429,0)</f>
        <v>0</v>
      </c>
      <c r="AD429" s="93">
        <f>IF(AQ429="7",BH429,0)</f>
        <v>0</v>
      </c>
      <c r="AE429" s="93">
        <f>IF(AQ429="7",BI429,0)</f>
        <v>0</v>
      </c>
      <c r="AF429" s="93">
        <f>IF(AQ429="2",BH429,0)</f>
        <v>0</v>
      </c>
      <c r="AG429" s="93">
        <f>IF(AQ429="2",BI429,0)</f>
        <v>0</v>
      </c>
      <c r="AH429" s="93">
        <f>IF(AQ429="0",BJ429,0)</f>
        <v>0</v>
      </c>
      <c r="AI429" s="88" t="s">
        <v>55</v>
      </c>
      <c r="AJ429" s="93">
        <f>IF(AN429=0,L429,0)</f>
        <v>0</v>
      </c>
      <c r="AK429" s="93">
        <f>IF(AN429=12,L429,0)</f>
        <v>0</v>
      </c>
      <c r="AL429" s="93">
        <f>IF(AN429=21,L429,0)</f>
        <v>0</v>
      </c>
      <c r="AN429" s="93">
        <v>21</v>
      </c>
      <c r="AO429" s="93">
        <f>H429*0.768829975</f>
        <v>0</v>
      </c>
      <c r="AP429" s="93">
        <f>H429*(1-0.768829975)</f>
        <v>0</v>
      </c>
      <c r="AQ429" s="94" t="s">
        <v>59</v>
      </c>
      <c r="AV429" s="93">
        <f>AW429+AX429</f>
        <v>0</v>
      </c>
      <c r="AW429" s="93">
        <f>G429*AO429</f>
        <v>0</v>
      </c>
      <c r="AX429" s="93">
        <f>G429*AP429</f>
        <v>0</v>
      </c>
      <c r="AY429" s="94" t="s">
        <v>528</v>
      </c>
      <c r="AZ429" s="94" t="s">
        <v>282</v>
      </c>
      <c r="BA429" s="88" t="s">
        <v>67</v>
      </c>
      <c r="BC429" s="93">
        <f>AW429+AX429</f>
        <v>0</v>
      </c>
      <c r="BD429" s="93">
        <f>H429/(100-BE429)*100</f>
        <v>0</v>
      </c>
      <c r="BE429" s="93">
        <v>0</v>
      </c>
      <c r="BF429" s="93">
        <f>O429</f>
        <v>54.793988665000001</v>
      </c>
      <c r="BH429" s="93">
        <f>G429*AO429</f>
        <v>0</v>
      </c>
      <c r="BI429" s="93">
        <f>G429*AP429</f>
        <v>0</v>
      </c>
      <c r="BJ429" s="93">
        <f>G429*H429</f>
        <v>0</v>
      </c>
      <c r="BK429" s="93"/>
      <c r="BL429" s="93">
        <v>34</v>
      </c>
      <c r="BW429" s="93" t="str">
        <f>I429</f>
        <v>21</v>
      </c>
      <c r="BX429" s="2" t="s">
        <v>551</v>
      </c>
    </row>
    <row r="430" spans="1:76" s="81" customFormat="1" x14ac:dyDescent="0.25">
      <c r="A430" s="110"/>
      <c r="B430" s="95"/>
      <c r="C430" s="95"/>
      <c r="D430" s="76" t="s">
        <v>54</v>
      </c>
      <c r="E430" s="76" t="s">
        <v>299</v>
      </c>
      <c r="F430" s="95"/>
      <c r="G430" s="96">
        <v>0</v>
      </c>
      <c r="H430" s="97"/>
      <c r="I430" s="95"/>
      <c r="J430" s="95"/>
      <c r="K430" s="95"/>
      <c r="L430" s="95"/>
      <c r="M430" s="95"/>
      <c r="N430" s="95"/>
      <c r="O430" s="95"/>
      <c r="P430" s="95"/>
    </row>
    <row r="431" spans="1:76" s="81" customFormat="1" x14ac:dyDescent="0.25">
      <c r="A431" s="110"/>
      <c r="B431" s="95"/>
      <c r="C431" s="95"/>
      <c r="D431" s="76" t="s">
        <v>552</v>
      </c>
      <c r="E431" s="76" t="s">
        <v>54</v>
      </c>
      <c r="F431" s="95"/>
      <c r="G431" s="96">
        <v>17.010000000000002</v>
      </c>
      <c r="H431" s="97"/>
      <c r="I431" s="95"/>
      <c r="J431" s="95"/>
      <c r="K431" s="95"/>
      <c r="L431" s="95"/>
      <c r="M431" s="95"/>
      <c r="N431" s="95"/>
      <c r="O431" s="95"/>
      <c r="P431" s="95"/>
    </row>
    <row r="432" spans="1:76" s="81" customFormat="1" x14ac:dyDescent="0.25">
      <c r="A432" s="110"/>
      <c r="B432" s="95"/>
      <c r="C432" s="95"/>
      <c r="D432" s="76" t="s">
        <v>553</v>
      </c>
      <c r="E432" s="76" t="s">
        <v>54</v>
      </c>
      <c r="F432" s="95"/>
      <c r="G432" s="96">
        <v>34.945</v>
      </c>
      <c r="H432" s="97"/>
      <c r="I432" s="95"/>
      <c r="J432" s="95"/>
      <c r="K432" s="95"/>
      <c r="L432" s="95"/>
      <c r="M432" s="95"/>
      <c r="N432" s="95"/>
      <c r="O432" s="95"/>
      <c r="P432" s="95"/>
    </row>
    <row r="433" spans="1:76" s="81" customFormat="1" ht="25.5" x14ac:dyDescent="0.25">
      <c r="A433" s="110"/>
      <c r="B433" s="95"/>
      <c r="C433" s="95"/>
      <c r="D433" s="76" t="s">
        <v>554</v>
      </c>
      <c r="E433" s="76" t="s">
        <v>54</v>
      </c>
      <c r="F433" s="95"/>
      <c r="G433" s="96">
        <v>94.626999999999995</v>
      </c>
      <c r="H433" s="97"/>
      <c r="I433" s="95"/>
      <c r="J433" s="95"/>
      <c r="K433" s="95"/>
      <c r="L433" s="95"/>
      <c r="M433" s="95"/>
      <c r="N433" s="95"/>
      <c r="O433" s="95"/>
      <c r="P433" s="95"/>
    </row>
    <row r="434" spans="1:76" s="81" customFormat="1" x14ac:dyDescent="0.25">
      <c r="A434" s="110"/>
      <c r="B434" s="95"/>
      <c r="C434" s="95"/>
      <c r="D434" s="76" t="s">
        <v>555</v>
      </c>
      <c r="E434" s="76" t="s">
        <v>54</v>
      </c>
      <c r="F434" s="95"/>
      <c r="G434" s="96">
        <v>-6.93</v>
      </c>
      <c r="H434" s="97"/>
      <c r="I434" s="95"/>
      <c r="J434" s="95"/>
      <c r="K434" s="95"/>
      <c r="L434" s="95"/>
      <c r="M434" s="95"/>
      <c r="N434" s="95"/>
      <c r="O434" s="95"/>
      <c r="P434" s="95"/>
    </row>
    <row r="435" spans="1:76" s="81" customFormat="1" x14ac:dyDescent="0.25">
      <c r="A435" s="110"/>
      <c r="B435" s="95"/>
      <c r="C435" s="95"/>
      <c r="D435" s="76" t="s">
        <v>54</v>
      </c>
      <c r="E435" s="76" t="s">
        <v>308</v>
      </c>
      <c r="F435" s="95"/>
      <c r="G435" s="96">
        <v>0</v>
      </c>
      <c r="H435" s="97"/>
      <c r="I435" s="95"/>
      <c r="J435" s="95"/>
      <c r="K435" s="95"/>
      <c r="L435" s="95"/>
      <c r="M435" s="95"/>
      <c r="N435" s="95"/>
      <c r="O435" s="95"/>
      <c r="P435" s="95"/>
    </row>
    <row r="436" spans="1:76" s="81" customFormat="1" ht="25.5" x14ac:dyDescent="0.25">
      <c r="A436" s="110"/>
      <c r="B436" s="95"/>
      <c r="C436" s="95"/>
      <c r="D436" s="76" t="s">
        <v>556</v>
      </c>
      <c r="E436" s="76" t="s">
        <v>54</v>
      </c>
      <c r="F436" s="95"/>
      <c r="G436" s="96">
        <v>126.09675</v>
      </c>
      <c r="H436" s="97"/>
      <c r="I436" s="95"/>
      <c r="J436" s="95"/>
      <c r="K436" s="95"/>
      <c r="L436" s="95"/>
      <c r="M436" s="95"/>
      <c r="N436" s="95"/>
      <c r="O436" s="95"/>
      <c r="P436" s="95"/>
    </row>
    <row r="437" spans="1:76" s="81" customFormat="1" x14ac:dyDescent="0.25">
      <c r="A437" s="110"/>
      <c r="B437" s="95"/>
      <c r="C437" s="95"/>
      <c r="D437" s="76" t="s">
        <v>557</v>
      </c>
      <c r="E437" s="76" t="s">
        <v>54</v>
      </c>
      <c r="F437" s="95"/>
      <c r="G437" s="96">
        <v>-11.55</v>
      </c>
      <c r="H437" s="97"/>
      <c r="I437" s="95"/>
      <c r="J437" s="95"/>
      <c r="K437" s="95"/>
      <c r="L437" s="95"/>
      <c r="M437" s="95"/>
      <c r="N437" s="95"/>
      <c r="O437" s="95"/>
      <c r="P437" s="95"/>
    </row>
    <row r="438" spans="1:76" s="81" customFormat="1" x14ac:dyDescent="0.25">
      <c r="A438" s="110"/>
      <c r="B438" s="95"/>
      <c r="C438" s="95"/>
      <c r="D438" s="76" t="s">
        <v>558</v>
      </c>
      <c r="E438" s="76" t="s">
        <v>54</v>
      </c>
      <c r="F438" s="95"/>
      <c r="G438" s="96">
        <v>55.353749999999998</v>
      </c>
      <c r="H438" s="97"/>
      <c r="I438" s="95"/>
      <c r="J438" s="95"/>
      <c r="K438" s="95"/>
      <c r="L438" s="95"/>
      <c r="M438" s="95"/>
      <c r="N438" s="95"/>
      <c r="O438" s="95"/>
      <c r="P438" s="95"/>
    </row>
    <row r="439" spans="1:76" s="81" customFormat="1" x14ac:dyDescent="0.25">
      <c r="A439" s="110"/>
      <c r="B439" s="95"/>
      <c r="C439" s="95"/>
      <c r="D439" s="76" t="s">
        <v>559</v>
      </c>
      <c r="E439" s="76" t="s">
        <v>54</v>
      </c>
      <c r="F439" s="95"/>
      <c r="G439" s="96">
        <v>178.851</v>
      </c>
      <c r="H439" s="97"/>
      <c r="I439" s="95"/>
      <c r="J439" s="95"/>
      <c r="K439" s="95"/>
      <c r="L439" s="95"/>
      <c r="M439" s="95"/>
      <c r="N439" s="95"/>
      <c r="O439" s="95"/>
      <c r="P439" s="95"/>
    </row>
    <row r="440" spans="1:76" s="81" customFormat="1" x14ac:dyDescent="0.25">
      <c r="A440" s="66" t="s">
        <v>560</v>
      </c>
      <c r="B440" s="72" t="s">
        <v>55</v>
      </c>
      <c r="C440" s="72" t="s">
        <v>561</v>
      </c>
      <c r="D440" s="174" t="s">
        <v>562</v>
      </c>
      <c r="E440" s="174"/>
      <c r="F440" s="72" t="s">
        <v>192</v>
      </c>
      <c r="G440" s="90">
        <v>10.956</v>
      </c>
      <c r="H440" s="91"/>
      <c r="I440" s="92" t="s">
        <v>63</v>
      </c>
      <c r="J440" s="90">
        <f>G440*AO440</f>
        <v>0</v>
      </c>
      <c r="K440" s="90">
        <f>G440*AP440</f>
        <v>0</v>
      </c>
      <c r="L440" s="90">
        <f>G440*H440</f>
        <v>0</v>
      </c>
      <c r="M440" s="90">
        <f>L440*(1+BW440/100)</f>
        <v>0</v>
      </c>
      <c r="N440" s="90">
        <v>0.17199</v>
      </c>
      <c r="O440" s="90">
        <f>G440*N440</f>
        <v>1.88432244</v>
      </c>
      <c r="P440" s="92" t="s">
        <v>64</v>
      </c>
      <c r="Z440" s="93">
        <f>IF(AQ440="5",BJ440,0)</f>
        <v>0</v>
      </c>
      <c r="AB440" s="93">
        <f>IF(AQ440="1",BH440,0)</f>
        <v>0</v>
      </c>
      <c r="AC440" s="93">
        <f>IF(AQ440="1",BI440,0)</f>
        <v>0</v>
      </c>
      <c r="AD440" s="93">
        <f>IF(AQ440="7",BH440,0)</f>
        <v>0</v>
      </c>
      <c r="AE440" s="93">
        <f>IF(AQ440="7",BI440,0)</f>
        <v>0</v>
      </c>
      <c r="AF440" s="93">
        <f>IF(AQ440="2",BH440,0)</f>
        <v>0</v>
      </c>
      <c r="AG440" s="93">
        <f>IF(AQ440="2",BI440,0)</f>
        <v>0</v>
      </c>
      <c r="AH440" s="93">
        <f>IF(AQ440="0",BJ440,0)</f>
        <v>0</v>
      </c>
      <c r="AI440" s="88" t="s">
        <v>55</v>
      </c>
      <c r="AJ440" s="93">
        <f>IF(AN440=0,L440,0)</f>
        <v>0</v>
      </c>
      <c r="AK440" s="93">
        <f>IF(AN440=12,L440,0)</f>
        <v>0</v>
      </c>
      <c r="AL440" s="93">
        <f>IF(AN440=21,L440,0)</f>
        <v>0</v>
      </c>
      <c r="AN440" s="93">
        <v>21</v>
      </c>
      <c r="AO440" s="93">
        <f>H440*0.783685446</f>
        <v>0</v>
      </c>
      <c r="AP440" s="93">
        <f>H440*(1-0.783685446)</f>
        <v>0</v>
      </c>
      <c r="AQ440" s="94" t="s">
        <v>59</v>
      </c>
      <c r="AV440" s="93">
        <f>AW440+AX440</f>
        <v>0</v>
      </c>
      <c r="AW440" s="93">
        <f>G440*AO440</f>
        <v>0</v>
      </c>
      <c r="AX440" s="93">
        <f>G440*AP440</f>
        <v>0</v>
      </c>
      <c r="AY440" s="94" t="s">
        <v>528</v>
      </c>
      <c r="AZ440" s="94" t="s">
        <v>282</v>
      </c>
      <c r="BA440" s="88" t="s">
        <v>67</v>
      </c>
      <c r="BC440" s="93">
        <f>AW440+AX440</f>
        <v>0</v>
      </c>
      <c r="BD440" s="93">
        <f>H440/(100-BE440)*100</f>
        <v>0</v>
      </c>
      <c r="BE440" s="93">
        <v>0</v>
      </c>
      <c r="BF440" s="93">
        <f>O440</f>
        <v>1.88432244</v>
      </c>
      <c r="BH440" s="93">
        <f>G440*AO440</f>
        <v>0</v>
      </c>
      <c r="BI440" s="93">
        <f>G440*AP440</f>
        <v>0</v>
      </c>
      <c r="BJ440" s="93">
        <f>G440*H440</f>
        <v>0</v>
      </c>
      <c r="BK440" s="93"/>
      <c r="BL440" s="93">
        <v>34</v>
      </c>
      <c r="BW440" s="93" t="str">
        <f>I440</f>
        <v>21</v>
      </c>
      <c r="BX440" s="2" t="s">
        <v>562</v>
      </c>
    </row>
    <row r="441" spans="1:76" s="81" customFormat="1" x14ac:dyDescent="0.25">
      <c r="A441" s="110"/>
      <c r="B441" s="95"/>
      <c r="C441" s="95"/>
      <c r="D441" s="76" t="s">
        <v>54</v>
      </c>
      <c r="E441" s="76" t="s">
        <v>308</v>
      </c>
      <c r="F441" s="95"/>
      <c r="G441" s="96">
        <v>0</v>
      </c>
      <c r="H441" s="97"/>
      <c r="I441" s="95"/>
      <c r="J441" s="95"/>
      <c r="K441" s="95"/>
      <c r="L441" s="95"/>
      <c r="M441" s="95"/>
      <c r="N441" s="95"/>
      <c r="O441" s="95"/>
      <c r="P441" s="95"/>
    </row>
    <row r="442" spans="1:76" s="81" customFormat="1" x14ac:dyDescent="0.25">
      <c r="A442" s="110"/>
      <c r="B442" s="95"/>
      <c r="C442" s="95"/>
      <c r="D442" s="76" t="s">
        <v>563</v>
      </c>
      <c r="E442" s="76" t="s">
        <v>54</v>
      </c>
      <c r="F442" s="95"/>
      <c r="G442" s="96">
        <v>10.956</v>
      </c>
      <c r="H442" s="97"/>
      <c r="I442" s="95"/>
      <c r="J442" s="95"/>
      <c r="K442" s="95"/>
      <c r="L442" s="95"/>
      <c r="M442" s="95"/>
      <c r="N442" s="95"/>
      <c r="O442" s="95"/>
      <c r="P442" s="95"/>
    </row>
    <row r="443" spans="1:76" s="81" customFormat="1" x14ac:dyDescent="0.25">
      <c r="A443" s="66" t="s">
        <v>564</v>
      </c>
      <c r="B443" s="72" t="s">
        <v>55</v>
      </c>
      <c r="C443" s="72" t="s">
        <v>565</v>
      </c>
      <c r="D443" s="174" t="s">
        <v>566</v>
      </c>
      <c r="E443" s="174"/>
      <c r="F443" s="72" t="s">
        <v>192</v>
      </c>
      <c r="G443" s="90">
        <v>10.8</v>
      </c>
      <c r="H443" s="91"/>
      <c r="I443" s="92" t="s">
        <v>63</v>
      </c>
      <c r="J443" s="90">
        <f>G443*AO443</f>
        <v>0</v>
      </c>
      <c r="K443" s="90">
        <f>G443*AP443</f>
        <v>0</v>
      </c>
      <c r="L443" s="90">
        <f>G443*H443</f>
        <v>0</v>
      </c>
      <c r="M443" s="90">
        <f>L443*(1+BW443/100)</f>
        <v>0</v>
      </c>
      <c r="N443" s="90">
        <v>2.9190000000000001E-2</v>
      </c>
      <c r="O443" s="90">
        <f>G443*N443</f>
        <v>0.31525200000000003</v>
      </c>
      <c r="P443" s="92" t="s">
        <v>64</v>
      </c>
      <c r="Z443" s="93">
        <f>IF(AQ443="5",BJ443,0)</f>
        <v>0</v>
      </c>
      <c r="AB443" s="93">
        <f>IF(AQ443="1",BH443,0)</f>
        <v>0</v>
      </c>
      <c r="AC443" s="93">
        <f>IF(AQ443="1",BI443,0)</f>
        <v>0</v>
      </c>
      <c r="AD443" s="93">
        <f>IF(AQ443="7",BH443,0)</f>
        <v>0</v>
      </c>
      <c r="AE443" s="93">
        <f>IF(AQ443="7",BI443,0)</f>
        <v>0</v>
      </c>
      <c r="AF443" s="93">
        <f>IF(AQ443="2",BH443,0)</f>
        <v>0</v>
      </c>
      <c r="AG443" s="93">
        <f>IF(AQ443="2",BI443,0)</f>
        <v>0</v>
      </c>
      <c r="AH443" s="93">
        <f>IF(AQ443="0",BJ443,0)</f>
        <v>0</v>
      </c>
      <c r="AI443" s="88" t="s">
        <v>55</v>
      </c>
      <c r="AJ443" s="93">
        <f>IF(AN443=0,L443,0)</f>
        <v>0</v>
      </c>
      <c r="AK443" s="93">
        <f>IF(AN443=12,L443,0)</f>
        <v>0</v>
      </c>
      <c r="AL443" s="93">
        <f>IF(AN443=21,L443,0)</f>
        <v>0</v>
      </c>
      <c r="AN443" s="93">
        <v>21</v>
      </c>
      <c r="AO443" s="93">
        <f>H443*0.597305014</f>
        <v>0</v>
      </c>
      <c r="AP443" s="93">
        <f>H443*(1-0.597305014)</f>
        <v>0</v>
      </c>
      <c r="AQ443" s="94" t="s">
        <v>59</v>
      </c>
      <c r="AV443" s="93">
        <f>AW443+AX443</f>
        <v>0</v>
      </c>
      <c r="AW443" s="93">
        <f>G443*AO443</f>
        <v>0</v>
      </c>
      <c r="AX443" s="93">
        <f>G443*AP443</f>
        <v>0</v>
      </c>
      <c r="AY443" s="94" t="s">
        <v>528</v>
      </c>
      <c r="AZ443" s="94" t="s">
        <v>282</v>
      </c>
      <c r="BA443" s="88" t="s">
        <v>67</v>
      </c>
      <c r="BC443" s="93">
        <f>AW443+AX443</f>
        <v>0</v>
      </c>
      <c r="BD443" s="93">
        <f>H443/(100-BE443)*100</f>
        <v>0</v>
      </c>
      <c r="BE443" s="93">
        <v>0</v>
      </c>
      <c r="BF443" s="93">
        <f>O443</f>
        <v>0.31525200000000003</v>
      </c>
      <c r="BH443" s="93">
        <f>G443*AO443</f>
        <v>0</v>
      </c>
      <c r="BI443" s="93">
        <f>G443*AP443</f>
        <v>0</v>
      </c>
      <c r="BJ443" s="93">
        <f>G443*H443</f>
        <v>0</v>
      </c>
      <c r="BK443" s="93"/>
      <c r="BL443" s="93">
        <v>34</v>
      </c>
      <c r="BW443" s="93" t="str">
        <f>I443</f>
        <v>21</v>
      </c>
      <c r="BX443" s="2" t="s">
        <v>566</v>
      </c>
    </row>
    <row r="444" spans="1:76" s="81" customFormat="1" ht="13.5" customHeight="1" x14ac:dyDescent="0.25">
      <c r="A444" s="110"/>
      <c r="B444" s="95"/>
      <c r="C444" s="95"/>
      <c r="D444" s="179" t="s">
        <v>567</v>
      </c>
      <c r="E444" s="179"/>
      <c r="F444" s="179"/>
      <c r="G444" s="179"/>
      <c r="H444" s="179"/>
      <c r="I444" s="179"/>
      <c r="J444" s="179"/>
      <c r="K444" s="179"/>
      <c r="L444" s="179"/>
      <c r="M444" s="179"/>
      <c r="N444" s="179"/>
      <c r="O444" s="179"/>
      <c r="P444" s="179"/>
    </row>
    <row r="445" spans="1:76" s="81" customFormat="1" ht="25.5" x14ac:dyDescent="0.25">
      <c r="A445" s="110"/>
      <c r="B445" s="95"/>
      <c r="C445" s="95"/>
      <c r="D445" s="76" t="s">
        <v>54</v>
      </c>
      <c r="E445" s="76" t="s">
        <v>568</v>
      </c>
      <c r="F445" s="95"/>
      <c r="G445" s="96">
        <v>0</v>
      </c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1:76" s="81" customFormat="1" x14ac:dyDescent="0.25">
      <c r="A446" s="110"/>
      <c r="B446" s="95"/>
      <c r="C446" s="95"/>
      <c r="D446" s="76" t="s">
        <v>569</v>
      </c>
      <c r="E446" s="76" t="s">
        <v>54</v>
      </c>
      <c r="F446" s="95"/>
      <c r="G446" s="96">
        <v>10.8</v>
      </c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1:76" s="81" customFormat="1" x14ac:dyDescent="0.25">
      <c r="A447" s="66" t="s">
        <v>570</v>
      </c>
      <c r="B447" s="72" t="s">
        <v>55</v>
      </c>
      <c r="C447" s="72" t="s">
        <v>571</v>
      </c>
      <c r="D447" s="174" t="s">
        <v>572</v>
      </c>
      <c r="E447" s="174"/>
      <c r="F447" s="72" t="s">
        <v>192</v>
      </c>
      <c r="G447" s="90">
        <v>3.5461999999999998</v>
      </c>
      <c r="H447" s="91"/>
      <c r="I447" s="92" t="s">
        <v>63</v>
      </c>
      <c r="J447" s="90">
        <f>G447*AO447</f>
        <v>0</v>
      </c>
      <c r="K447" s="90">
        <f>G447*AP447</f>
        <v>0</v>
      </c>
      <c r="L447" s="90">
        <f>G447*H447</f>
        <v>0</v>
      </c>
      <c r="M447" s="90">
        <f>L447*(1+BW447/100)</f>
        <v>0</v>
      </c>
      <c r="N447" s="90">
        <v>9.3579999999999997E-2</v>
      </c>
      <c r="O447" s="90">
        <f>G447*N447</f>
        <v>0.33185339599999997</v>
      </c>
      <c r="P447" s="92" t="s">
        <v>64</v>
      </c>
      <c r="Z447" s="93">
        <f>IF(AQ447="5",BJ447,0)</f>
        <v>0</v>
      </c>
      <c r="AB447" s="93">
        <f>IF(AQ447="1",BH447,0)</f>
        <v>0</v>
      </c>
      <c r="AC447" s="93">
        <f>IF(AQ447="1",BI447,0)</f>
        <v>0</v>
      </c>
      <c r="AD447" s="93">
        <f>IF(AQ447="7",BH447,0)</f>
        <v>0</v>
      </c>
      <c r="AE447" s="93">
        <f>IF(AQ447="7",BI447,0)</f>
        <v>0</v>
      </c>
      <c r="AF447" s="93">
        <f>IF(AQ447="2",BH447,0)</f>
        <v>0</v>
      </c>
      <c r="AG447" s="93">
        <f>IF(AQ447="2",BI447,0)</f>
        <v>0</v>
      </c>
      <c r="AH447" s="93">
        <f>IF(AQ447="0",BJ447,0)</f>
        <v>0</v>
      </c>
      <c r="AI447" s="88" t="s">
        <v>55</v>
      </c>
      <c r="AJ447" s="93">
        <f>IF(AN447=0,L447,0)</f>
        <v>0</v>
      </c>
      <c r="AK447" s="93">
        <f>IF(AN447=12,L447,0)</f>
        <v>0</v>
      </c>
      <c r="AL447" s="93">
        <f>IF(AN447=21,L447,0)</f>
        <v>0</v>
      </c>
      <c r="AN447" s="93">
        <v>21</v>
      </c>
      <c r="AO447" s="93">
        <f>H447*0.574158336</f>
        <v>0</v>
      </c>
      <c r="AP447" s="93">
        <f>H447*(1-0.574158336)</f>
        <v>0</v>
      </c>
      <c r="AQ447" s="94" t="s">
        <v>59</v>
      </c>
      <c r="AV447" s="93">
        <f>AW447+AX447</f>
        <v>0</v>
      </c>
      <c r="AW447" s="93">
        <f>G447*AO447</f>
        <v>0</v>
      </c>
      <c r="AX447" s="93">
        <f>G447*AP447</f>
        <v>0</v>
      </c>
      <c r="AY447" s="94" t="s">
        <v>528</v>
      </c>
      <c r="AZ447" s="94" t="s">
        <v>282</v>
      </c>
      <c r="BA447" s="88" t="s">
        <v>67</v>
      </c>
      <c r="BC447" s="93">
        <f>AW447+AX447</f>
        <v>0</v>
      </c>
      <c r="BD447" s="93">
        <f>H447/(100-BE447)*100</f>
        <v>0</v>
      </c>
      <c r="BE447" s="93">
        <v>0</v>
      </c>
      <c r="BF447" s="93">
        <f>O447</f>
        <v>0.33185339599999997</v>
      </c>
      <c r="BH447" s="93">
        <f>G447*AO447</f>
        <v>0</v>
      </c>
      <c r="BI447" s="93">
        <f>G447*AP447</f>
        <v>0</v>
      </c>
      <c r="BJ447" s="93">
        <f>G447*H447</f>
        <v>0</v>
      </c>
      <c r="BK447" s="93"/>
      <c r="BL447" s="93">
        <v>34</v>
      </c>
      <c r="BW447" s="93" t="str">
        <f>I447</f>
        <v>21</v>
      </c>
      <c r="BX447" s="2" t="s">
        <v>572</v>
      </c>
    </row>
    <row r="448" spans="1:76" s="81" customFormat="1" x14ac:dyDescent="0.25">
      <c r="A448" s="110"/>
      <c r="B448" s="95"/>
      <c r="C448" s="95"/>
      <c r="D448" s="76" t="s">
        <v>54</v>
      </c>
      <c r="E448" s="76" t="s">
        <v>299</v>
      </c>
      <c r="F448" s="95"/>
      <c r="G448" s="96">
        <v>0</v>
      </c>
      <c r="H448" s="97"/>
      <c r="I448" s="95"/>
      <c r="J448" s="95"/>
      <c r="K448" s="95"/>
      <c r="L448" s="95"/>
      <c r="M448" s="95"/>
      <c r="N448" s="95"/>
      <c r="O448" s="95"/>
      <c r="P448" s="95"/>
    </row>
    <row r="449" spans="1:76" s="81" customFormat="1" x14ac:dyDescent="0.25">
      <c r="A449" s="110"/>
      <c r="B449" s="95"/>
      <c r="C449" s="95"/>
      <c r="D449" s="76" t="s">
        <v>573</v>
      </c>
      <c r="E449" s="76" t="s">
        <v>574</v>
      </c>
      <c r="F449" s="95"/>
      <c r="G449" s="96">
        <v>3.5461999999999998</v>
      </c>
      <c r="H449" s="97"/>
      <c r="I449" s="95"/>
      <c r="J449" s="95"/>
      <c r="K449" s="95"/>
      <c r="L449" s="95"/>
      <c r="M449" s="95"/>
      <c r="N449" s="95"/>
      <c r="O449" s="95"/>
      <c r="P449" s="95"/>
    </row>
    <row r="450" spans="1:76" s="81" customFormat="1" x14ac:dyDescent="0.25">
      <c r="A450" s="66" t="s">
        <v>575</v>
      </c>
      <c r="B450" s="72" t="s">
        <v>55</v>
      </c>
      <c r="C450" s="72" t="s">
        <v>576</v>
      </c>
      <c r="D450" s="174" t="s">
        <v>577</v>
      </c>
      <c r="E450" s="174"/>
      <c r="F450" s="72" t="s">
        <v>203</v>
      </c>
      <c r="G450" s="90">
        <v>1</v>
      </c>
      <c r="H450" s="91"/>
      <c r="I450" s="92" t="s">
        <v>63</v>
      </c>
      <c r="J450" s="90">
        <f>G450*AO450</f>
        <v>0</v>
      </c>
      <c r="K450" s="90">
        <f>G450*AP450</f>
        <v>0</v>
      </c>
      <c r="L450" s="90">
        <f>G450*H450</f>
        <v>0</v>
      </c>
      <c r="M450" s="90">
        <f>L450*(1+BW450/100)</f>
        <v>0</v>
      </c>
      <c r="N450" s="90">
        <v>0.1575</v>
      </c>
      <c r="O450" s="90">
        <f>G450*N450</f>
        <v>0.1575</v>
      </c>
      <c r="P450" s="92" t="s">
        <v>578</v>
      </c>
      <c r="Z450" s="93">
        <f>IF(AQ450="5",BJ450,0)</f>
        <v>0</v>
      </c>
      <c r="AB450" s="93">
        <f>IF(AQ450="1",BH450,0)</f>
        <v>0</v>
      </c>
      <c r="AC450" s="93">
        <f>IF(AQ450="1",BI450,0)</f>
        <v>0</v>
      </c>
      <c r="AD450" s="93">
        <f>IF(AQ450="7",BH450,0)</f>
        <v>0</v>
      </c>
      <c r="AE450" s="93">
        <f>IF(AQ450="7",BI450,0)</f>
        <v>0</v>
      </c>
      <c r="AF450" s="93">
        <f>IF(AQ450="2",BH450,0)</f>
        <v>0</v>
      </c>
      <c r="AG450" s="93">
        <f>IF(AQ450="2",BI450,0)</f>
        <v>0</v>
      </c>
      <c r="AH450" s="93">
        <f>IF(AQ450="0",BJ450,0)</f>
        <v>0</v>
      </c>
      <c r="AI450" s="88" t="s">
        <v>55</v>
      </c>
      <c r="AJ450" s="93">
        <f>IF(AN450=0,L450,0)</f>
        <v>0</v>
      </c>
      <c r="AK450" s="93">
        <f>IF(AN450=12,L450,0)</f>
        <v>0</v>
      </c>
      <c r="AL450" s="93">
        <f>IF(AN450=21,L450,0)</f>
        <v>0</v>
      </c>
      <c r="AN450" s="93">
        <v>21</v>
      </c>
      <c r="AO450" s="93">
        <f>H450*0.858451778</f>
        <v>0</v>
      </c>
      <c r="AP450" s="93">
        <f>H450*(1-0.858451778)</f>
        <v>0</v>
      </c>
      <c r="AQ450" s="94" t="s">
        <v>59</v>
      </c>
      <c r="AV450" s="93">
        <f>AW450+AX450</f>
        <v>0</v>
      </c>
      <c r="AW450" s="93">
        <f>G450*AO450</f>
        <v>0</v>
      </c>
      <c r="AX450" s="93">
        <f>G450*AP450</f>
        <v>0</v>
      </c>
      <c r="AY450" s="94" t="s">
        <v>528</v>
      </c>
      <c r="AZ450" s="94" t="s">
        <v>282</v>
      </c>
      <c r="BA450" s="88" t="s">
        <v>67</v>
      </c>
      <c r="BC450" s="93">
        <f>AW450+AX450</f>
        <v>0</v>
      </c>
      <c r="BD450" s="93">
        <f>H450/(100-BE450)*100</f>
        <v>0</v>
      </c>
      <c r="BE450" s="93">
        <v>0</v>
      </c>
      <c r="BF450" s="93">
        <f>O450</f>
        <v>0.1575</v>
      </c>
      <c r="BH450" s="93">
        <f>G450*AO450</f>
        <v>0</v>
      </c>
      <c r="BI450" s="93">
        <f>G450*AP450</f>
        <v>0</v>
      </c>
      <c r="BJ450" s="93">
        <f>G450*H450</f>
        <v>0</v>
      </c>
      <c r="BK450" s="93"/>
      <c r="BL450" s="93">
        <v>34</v>
      </c>
      <c r="BW450" s="93" t="str">
        <f>I450</f>
        <v>21</v>
      </c>
      <c r="BX450" s="2" t="s">
        <v>577</v>
      </c>
    </row>
    <row r="451" spans="1:76" s="81" customFormat="1" ht="25.5" x14ac:dyDescent="0.25">
      <c r="A451" s="110"/>
      <c r="B451" s="95"/>
      <c r="C451" s="95"/>
      <c r="D451" s="76" t="s">
        <v>59</v>
      </c>
      <c r="E451" s="76" t="s">
        <v>4305</v>
      </c>
      <c r="F451" s="95"/>
      <c r="G451" s="96">
        <v>1</v>
      </c>
      <c r="H451" s="97"/>
      <c r="I451" s="95"/>
      <c r="J451" s="95"/>
      <c r="K451" s="95"/>
      <c r="L451" s="95"/>
      <c r="M451" s="95"/>
      <c r="N451" s="95"/>
      <c r="O451" s="95"/>
      <c r="P451" s="95"/>
    </row>
    <row r="452" spans="1:76" s="81" customFormat="1" x14ac:dyDescent="0.25">
      <c r="A452" s="66" t="s">
        <v>580</v>
      </c>
      <c r="B452" s="72" t="s">
        <v>55</v>
      </c>
      <c r="C452" s="72" t="s">
        <v>581</v>
      </c>
      <c r="D452" s="174" t="s">
        <v>582</v>
      </c>
      <c r="E452" s="174"/>
      <c r="F452" s="72" t="s">
        <v>62</v>
      </c>
      <c r="G452" s="90">
        <v>25.87762</v>
      </c>
      <c r="H452" s="91"/>
      <c r="I452" s="92" t="s">
        <v>63</v>
      </c>
      <c r="J452" s="90">
        <f>G452*AO452</f>
        <v>0</v>
      </c>
      <c r="K452" s="90">
        <f>G452*AP452</f>
        <v>0</v>
      </c>
      <c r="L452" s="90">
        <f>G452*H452</f>
        <v>0</v>
      </c>
      <c r="M452" s="90">
        <f>L452*(1+BW452/100)</f>
        <v>0</v>
      </c>
      <c r="N452" s="90">
        <v>2.52502</v>
      </c>
      <c r="O452" s="90">
        <f>G452*N452</f>
        <v>65.341508052400002</v>
      </c>
      <c r="P452" s="92" t="s">
        <v>64</v>
      </c>
      <c r="Z452" s="93">
        <f>IF(AQ452="5",BJ452,0)</f>
        <v>0</v>
      </c>
      <c r="AB452" s="93">
        <f>IF(AQ452="1",BH452,0)</f>
        <v>0</v>
      </c>
      <c r="AC452" s="93">
        <f>IF(AQ452="1",BI452,0)</f>
        <v>0</v>
      </c>
      <c r="AD452" s="93">
        <f>IF(AQ452="7",BH452,0)</f>
        <v>0</v>
      </c>
      <c r="AE452" s="93">
        <f>IF(AQ452="7",BI452,0)</f>
        <v>0</v>
      </c>
      <c r="AF452" s="93">
        <f>IF(AQ452="2",BH452,0)</f>
        <v>0</v>
      </c>
      <c r="AG452" s="93">
        <f>IF(AQ452="2",BI452,0)</f>
        <v>0</v>
      </c>
      <c r="AH452" s="93">
        <f>IF(AQ452="0",BJ452,0)</f>
        <v>0</v>
      </c>
      <c r="AI452" s="88" t="s">
        <v>55</v>
      </c>
      <c r="AJ452" s="93">
        <f>IF(AN452=0,L452,0)</f>
        <v>0</v>
      </c>
      <c r="AK452" s="93">
        <f>IF(AN452=12,L452,0)</f>
        <v>0</v>
      </c>
      <c r="AL452" s="93">
        <f>IF(AN452=21,L452,0)</f>
        <v>0</v>
      </c>
      <c r="AN452" s="93">
        <v>21</v>
      </c>
      <c r="AO452" s="93">
        <f>H452*0.802419345</f>
        <v>0</v>
      </c>
      <c r="AP452" s="93">
        <f>H452*(1-0.802419345)</f>
        <v>0</v>
      </c>
      <c r="AQ452" s="94" t="s">
        <v>59</v>
      </c>
      <c r="AV452" s="93">
        <f>AW452+AX452</f>
        <v>0</v>
      </c>
      <c r="AW452" s="93">
        <f>G452*AO452</f>
        <v>0</v>
      </c>
      <c r="AX452" s="93">
        <f>G452*AP452</f>
        <v>0</v>
      </c>
      <c r="AY452" s="94" t="s">
        <v>528</v>
      </c>
      <c r="AZ452" s="94" t="s">
        <v>282</v>
      </c>
      <c r="BA452" s="88" t="s">
        <v>67</v>
      </c>
      <c r="BC452" s="93">
        <f>AW452+AX452</f>
        <v>0</v>
      </c>
      <c r="BD452" s="93">
        <f>H452/(100-BE452)*100</f>
        <v>0</v>
      </c>
      <c r="BE452" s="93">
        <v>0</v>
      </c>
      <c r="BF452" s="93">
        <f>O452</f>
        <v>65.341508052400002</v>
      </c>
      <c r="BH452" s="93">
        <f>G452*AO452</f>
        <v>0</v>
      </c>
      <c r="BI452" s="93">
        <f>G452*AP452</f>
        <v>0</v>
      </c>
      <c r="BJ452" s="93">
        <f>G452*H452</f>
        <v>0</v>
      </c>
      <c r="BK452" s="93"/>
      <c r="BL452" s="93">
        <v>34</v>
      </c>
      <c r="BW452" s="93" t="str">
        <f>I452</f>
        <v>21</v>
      </c>
      <c r="BX452" s="2" t="s">
        <v>582</v>
      </c>
    </row>
    <row r="453" spans="1:76" s="81" customFormat="1" ht="13.5" customHeight="1" x14ac:dyDescent="0.25">
      <c r="A453" s="110"/>
      <c r="B453" s="95"/>
      <c r="C453" s="95"/>
      <c r="D453" s="179" t="s">
        <v>583</v>
      </c>
      <c r="E453" s="179"/>
      <c r="F453" s="179"/>
      <c r="G453" s="179"/>
      <c r="H453" s="179"/>
      <c r="I453" s="179"/>
      <c r="J453" s="179"/>
      <c r="K453" s="179"/>
      <c r="L453" s="179"/>
      <c r="M453" s="179"/>
      <c r="N453" s="179"/>
      <c r="O453" s="179"/>
      <c r="P453" s="179"/>
    </row>
    <row r="454" spans="1:76" s="81" customFormat="1" x14ac:dyDescent="0.25">
      <c r="A454" s="110"/>
      <c r="B454" s="95"/>
      <c r="C454" s="95"/>
      <c r="D454" s="76" t="s">
        <v>54</v>
      </c>
      <c r="E454" s="76" t="s">
        <v>584</v>
      </c>
      <c r="F454" s="95"/>
      <c r="G454" s="96">
        <v>0</v>
      </c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1:76" s="81" customFormat="1" x14ac:dyDescent="0.25">
      <c r="A455" s="110"/>
      <c r="B455" s="95"/>
      <c r="C455" s="95"/>
      <c r="D455" s="76" t="s">
        <v>585</v>
      </c>
      <c r="E455" s="76" t="s">
        <v>54</v>
      </c>
      <c r="F455" s="95"/>
      <c r="G455" s="96">
        <v>2.70438</v>
      </c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1:76" s="81" customFormat="1" x14ac:dyDescent="0.25">
      <c r="A456" s="110"/>
      <c r="B456" s="95"/>
      <c r="C456" s="95"/>
      <c r="D456" s="76" t="s">
        <v>586</v>
      </c>
      <c r="E456" s="76" t="s">
        <v>54</v>
      </c>
      <c r="F456" s="95"/>
      <c r="G456" s="96">
        <v>1.7937099999999999</v>
      </c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1:76" s="81" customFormat="1" ht="25.5" x14ac:dyDescent="0.25">
      <c r="A457" s="110"/>
      <c r="B457" s="95"/>
      <c r="C457" s="95"/>
      <c r="D457" s="76" t="s">
        <v>587</v>
      </c>
      <c r="E457" s="76" t="s">
        <v>54</v>
      </c>
      <c r="F457" s="95"/>
      <c r="G457" s="96">
        <v>19.798469999999998</v>
      </c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1:76" s="81" customFormat="1" x14ac:dyDescent="0.25">
      <c r="A458" s="110"/>
      <c r="B458" s="95"/>
      <c r="C458" s="95"/>
      <c r="D458" s="76" t="s">
        <v>54</v>
      </c>
      <c r="E458" s="76" t="s">
        <v>588</v>
      </c>
      <c r="F458" s="95"/>
      <c r="G458" s="96">
        <v>0</v>
      </c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1:76" s="81" customFormat="1" x14ac:dyDescent="0.25">
      <c r="A459" s="110"/>
      <c r="B459" s="95"/>
      <c r="C459" s="95"/>
      <c r="D459" s="76" t="s">
        <v>589</v>
      </c>
      <c r="E459" s="76" t="s">
        <v>54</v>
      </c>
      <c r="F459" s="95"/>
      <c r="G459" s="96">
        <v>1.5810599999999999</v>
      </c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1:76" s="81" customFormat="1" x14ac:dyDescent="0.25">
      <c r="A460" s="66" t="s">
        <v>590</v>
      </c>
      <c r="B460" s="72" t="s">
        <v>55</v>
      </c>
      <c r="C460" s="72" t="s">
        <v>591</v>
      </c>
      <c r="D460" s="174" t="s">
        <v>592</v>
      </c>
      <c r="E460" s="174"/>
      <c r="F460" s="72" t="s">
        <v>192</v>
      </c>
      <c r="G460" s="90">
        <v>206.33578</v>
      </c>
      <c r="H460" s="91"/>
      <c r="I460" s="92" t="s">
        <v>63</v>
      </c>
      <c r="J460" s="90">
        <f>G460*AO460</f>
        <v>0</v>
      </c>
      <c r="K460" s="90">
        <f>G460*AP460</f>
        <v>0</v>
      </c>
      <c r="L460" s="90">
        <f>G460*H460</f>
        <v>0</v>
      </c>
      <c r="M460" s="90">
        <f>L460*(1+BW460/100)</f>
        <v>0</v>
      </c>
      <c r="N460" s="90">
        <v>3.9309999999999998E-2</v>
      </c>
      <c r="O460" s="90">
        <f>G460*N460</f>
        <v>8.1110595117999988</v>
      </c>
      <c r="P460" s="92" t="s">
        <v>64</v>
      </c>
      <c r="Z460" s="93">
        <f>IF(AQ460="5",BJ460,0)</f>
        <v>0</v>
      </c>
      <c r="AB460" s="93">
        <f>IF(AQ460="1",BH460,0)</f>
        <v>0</v>
      </c>
      <c r="AC460" s="93">
        <f>IF(AQ460="1",BI460,0)</f>
        <v>0</v>
      </c>
      <c r="AD460" s="93">
        <f>IF(AQ460="7",BH460,0)</f>
        <v>0</v>
      </c>
      <c r="AE460" s="93">
        <f>IF(AQ460="7",BI460,0)</f>
        <v>0</v>
      </c>
      <c r="AF460" s="93">
        <f>IF(AQ460="2",BH460,0)</f>
        <v>0</v>
      </c>
      <c r="AG460" s="93">
        <f>IF(AQ460="2",BI460,0)</f>
        <v>0</v>
      </c>
      <c r="AH460" s="93">
        <f>IF(AQ460="0",BJ460,0)</f>
        <v>0</v>
      </c>
      <c r="AI460" s="88" t="s">
        <v>55</v>
      </c>
      <c r="AJ460" s="93">
        <f>IF(AN460=0,L460,0)</f>
        <v>0</v>
      </c>
      <c r="AK460" s="93">
        <f>IF(AN460=12,L460,0)</f>
        <v>0</v>
      </c>
      <c r="AL460" s="93">
        <f>IF(AN460=21,L460,0)</f>
        <v>0</v>
      </c>
      <c r="AN460" s="93">
        <v>21</v>
      </c>
      <c r="AO460" s="93">
        <f>H460*0.444573675</f>
        <v>0</v>
      </c>
      <c r="AP460" s="93">
        <f>H460*(1-0.444573675)</f>
        <v>0</v>
      </c>
      <c r="AQ460" s="94" t="s">
        <v>59</v>
      </c>
      <c r="AV460" s="93">
        <f>AW460+AX460</f>
        <v>0</v>
      </c>
      <c r="AW460" s="93">
        <f>G460*AO460</f>
        <v>0</v>
      </c>
      <c r="AX460" s="93">
        <f>G460*AP460</f>
        <v>0</v>
      </c>
      <c r="AY460" s="94" t="s">
        <v>528</v>
      </c>
      <c r="AZ460" s="94" t="s">
        <v>282</v>
      </c>
      <c r="BA460" s="88" t="s">
        <v>67</v>
      </c>
      <c r="BC460" s="93">
        <f>AW460+AX460</f>
        <v>0</v>
      </c>
      <c r="BD460" s="93">
        <f>H460/(100-BE460)*100</f>
        <v>0</v>
      </c>
      <c r="BE460" s="93">
        <v>0</v>
      </c>
      <c r="BF460" s="93">
        <f>O460</f>
        <v>8.1110595117999988</v>
      </c>
      <c r="BH460" s="93">
        <f>G460*AO460</f>
        <v>0</v>
      </c>
      <c r="BI460" s="93">
        <f>G460*AP460</f>
        <v>0</v>
      </c>
      <c r="BJ460" s="93">
        <f>G460*H460</f>
        <v>0</v>
      </c>
      <c r="BK460" s="93"/>
      <c r="BL460" s="93">
        <v>34</v>
      </c>
      <c r="BW460" s="93" t="str">
        <f>I460</f>
        <v>21</v>
      </c>
      <c r="BX460" s="2" t="s">
        <v>592</v>
      </c>
    </row>
    <row r="461" spans="1:76" s="81" customFormat="1" x14ac:dyDescent="0.25">
      <c r="A461" s="110"/>
      <c r="B461" s="95"/>
      <c r="C461" s="95"/>
      <c r="D461" s="76" t="s">
        <v>54</v>
      </c>
      <c r="E461" s="76" t="s">
        <v>584</v>
      </c>
      <c r="F461" s="95"/>
      <c r="G461" s="96">
        <v>0</v>
      </c>
      <c r="H461" s="97"/>
      <c r="I461" s="95"/>
      <c r="J461" s="95"/>
      <c r="K461" s="95"/>
      <c r="L461" s="95"/>
      <c r="M461" s="95"/>
      <c r="N461" s="95"/>
      <c r="O461" s="95"/>
      <c r="P461" s="95"/>
    </row>
    <row r="462" spans="1:76" s="81" customFormat="1" x14ac:dyDescent="0.25">
      <c r="A462" s="110"/>
      <c r="B462" s="95"/>
      <c r="C462" s="95"/>
      <c r="D462" s="76" t="s">
        <v>593</v>
      </c>
      <c r="E462" s="76" t="s">
        <v>54</v>
      </c>
      <c r="F462" s="95"/>
      <c r="G462" s="96">
        <v>27.043800000000001</v>
      </c>
      <c r="H462" s="97"/>
      <c r="I462" s="95"/>
      <c r="J462" s="95"/>
      <c r="K462" s="95"/>
      <c r="L462" s="95"/>
      <c r="M462" s="95"/>
      <c r="N462" s="95"/>
      <c r="O462" s="95"/>
      <c r="P462" s="95"/>
    </row>
    <row r="463" spans="1:76" s="81" customFormat="1" x14ac:dyDescent="0.25">
      <c r="A463" s="110"/>
      <c r="B463" s="95"/>
      <c r="C463" s="95"/>
      <c r="D463" s="76" t="s">
        <v>594</v>
      </c>
      <c r="E463" s="76" t="s">
        <v>54</v>
      </c>
      <c r="F463" s="95"/>
      <c r="G463" s="96">
        <v>17.937080000000002</v>
      </c>
      <c r="H463" s="97"/>
      <c r="I463" s="95"/>
      <c r="J463" s="95"/>
      <c r="K463" s="95"/>
      <c r="L463" s="95"/>
      <c r="M463" s="95"/>
      <c r="N463" s="95"/>
      <c r="O463" s="95"/>
      <c r="P463" s="95"/>
    </row>
    <row r="464" spans="1:76" s="81" customFormat="1" ht="25.5" x14ac:dyDescent="0.25">
      <c r="A464" s="110"/>
      <c r="B464" s="95"/>
      <c r="C464" s="95"/>
      <c r="D464" s="76" t="s">
        <v>595</v>
      </c>
      <c r="E464" s="76" t="s">
        <v>54</v>
      </c>
      <c r="F464" s="95"/>
      <c r="G464" s="96">
        <v>149.42240000000001</v>
      </c>
      <c r="H464" s="97"/>
      <c r="I464" s="95"/>
      <c r="J464" s="95"/>
      <c r="K464" s="95"/>
      <c r="L464" s="95"/>
      <c r="M464" s="95"/>
      <c r="N464" s="95"/>
      <c r="O464" s="95"/>
      <c r="P464" s="95"/>
    </row>
    <row r="465" spans="1:76" s="81" customFormat="1" x14ac:dyDescent="0.25">
      <c r="A465" s="110"/>
      <c r="B465" s="95"/>
      <c r="C465" s="95"/>
      <c r="D465" s="76" t="s">
        <v>54</v>
      </c>
      <c r="E465" s="76" t="s">
        <v>588</v>
      </c>
      <c r="F465" s="95"/>
      <c r="G465" s="96">
        <v>0</v>
      </c>
      <c r="H465" s="97"/>
      <c r="I465" s="95"/>
      <c r="J465" s="95"/>
      <c r="K465" s="95"/>
      <c r="L465" s="95"/>
      <c r="M465" s="95"/>
      <c r="N465" s="95"/>
      <c r="O465" s="95"/>
      <c r="P465" s="95"/>
    </row>
    <row r="466" spans="1:76" s="81" customFormat="1" x14ac:dyDescent="0.25">
      <c r="A466" s="110"/>
      <c r="B466" s="95"/>
      <c r="C466" s="95"/>
      <c r="D466" s="76" t="s">
        <v>596</v>
      </c>
      <c r="E466" s="76" t="s">
        <v>54</v>
      </c>
      <c r="F466" s="95"/>
      <c r="G466" s="96">
        <v>11.932499999999999</v>
      </c>
      <c r="H466" s="97"/>
      <c r="I466" s="95"/>
      <c r="J466" s="95"/>
      <c r="K466" s="95"/>
      <c r="L466" s="95"/>
      <c r="M466" s="95"/>
      <c r="N466" s="95"/>
      <c r="O466" s="95"/>
      <c r="P466" s="95"/>
    </row>
    <row r="467" spans="1:76" s="81" customFormat="1" x14ac:dyDescent="0.25">
      <c r="A467" s="66" t="s">
        <v>597</v>
      </c>
      <c r="B467" s="72" t="s">
        <v>55</v>
      </c>
      <c r="C467" s="72" t="s">
        <v>598</v>
      </c>
      <c r="D467" s="174" t="s">
        <v>599</v>
      </c>
      <c r="E467" s="174"/>
      <c r="F467" s="72" t="s">
        <v>192</v>
      </c>
      <c r="G467" s="90">
        <v>206.33578</v>
      </c>
      <c r="H467" s="91"/>
      <c r="I467" s="92" t="s">
        <v>63</v>
      </c>
      <c r="J467" s="90">
        <f>G467*AO467</f>
        <v>0</v>
      </c>
      <c r="K467" s="90">
        <f>G467*AP467</f>
        <v>0</v>
      </c>
      <c r="L467" s="90">
        <f>G467*H467</f>
        <v>0</v>
      </c>
      <c r="M467" s="90">
        <f>L467*(1+BW467/100)</f>
        <v>0</v>
      </c>
      <c r="N467" s="90">
        <v>0</v>
      </c>
      <c r="O467" s="90">
        <f>G467*N467</f>
        <v>0</v>
      </c>
      <c r="P467" s="92" t="s">
        <v>64</v>
      </c>
      <c r="Z467" s="93">
        <f>IF(AQ467="5",BJ467,0)</f>
        <v>0</v>
      </c>
      <c r="AB467" s="93">
        <f>IF(AQ467="1",BH467,0)</f>
        <v>0</v>
      </c>
      <c r="AC467" s="93">
        <f>IF(AQ467="1",BI467,0)</f>
        <v>0</v>
      </c>
      <c r="AD467" s="93">
        <f>IF(AQ467="7",BH467,0)</f>
        <v>0</v>
      </c>
      <c r="AE467" s="93">
        <f>IF(AQ467="7",BI467,0)</f>
        <v>0</v>
      </c>
      <c r="AF467" s="93">
        <f>IF(AQ467="2",BH467,0)</f>
        <v>0</v>
      </c>
      <c r="AG467" s="93">
        <f>IF(AQ467="2",BI467,0)</f>
        <v>0</v>
      </c>
      <c r="AH467" s="93">
        <f>IF(AQ467="0",BJ467,0)</f>
        <v>0</v>
      </c>
      <c r="AI467" s="88" t="s">
        <v>55</v>
      </c>
      <c r="AJ467" s="93">
        <f>IF(AN467=0,L467,0)</f>
        <v>0</v>
      </c>
      <c r="AK467" s="93">
        <f>IF(AN467=12,L467,0)</f>
        <v>0</v>
      </c>
      <c r="AL467" s="93">
        <f>IF(AN467=21,L467,0)</f>
        <v>0</v>
      </c>
      <c r="AN467" s="93">
        <v>21</v>
      </c>
      <c r="AO467" s="93">
        <f>H467*0</f>
        <v>0</v>
      </c>
      <c r="AP467" s="93">
        <f>H467*(1-0)</f>
        <v>0</v>
      </c>
      <c r="AQ467" s="94" t="s">
        <v>59</v>
      </c>
      <c r="AV467" s="93">
        <f>AW467+AX467</f>
        <v>0</v>
      </c>
      <c r="AW467" s="93">
        <f>G467*AO467</f>
        <v>0</v>
      </c>
      <c r="AX467" s="93">
        <f>G467*AP467</f>
        <v>0</v>
      </c>
      <c r="AY467" s="94" t="s">
        <v>528</v>
      </c>
      <c r="AZ467" s="94" t="s">
        <v>282</v>
      </c>
      <c r="BA467" s="88" t="s">
        <v>67</v>
      </c>
      <c r="BC467" s="93">
        <f>AW467+AX467</f>
        <v>0</v>
      </c>
      <c r="BD467" s="93">
        <f>H467/(100-BE467)*100</f>
        <v>0</v>
      </c>
      <c r="BE467" s="93">
        <v>0</v>
      </c>
      <c r="BF467" s="93">
        <f>O467</f>
        <v>0</v>
      </c>
      <c r="BH467" s="93">
        <f>G467*AO467</f>
        <v>0</v>
      </c>
      <c r="BI467" s="93">
        <f>G467*AP467</f>
        <v>0</v>
      </c>
      <c r="BJ467" s="93">
        <f>G467*H467</f>
        <v>0</v>
      </c>
      <c r="BK467" s="93"/>
      <c r="BL467" s="93">
        <v>34</v>
      </c>
      <c r="BW467" s="93" t="str">
        <f>I467</f>
        <v>21</v>
      </c>
      <c r="BX467" s="2" t="s">
        <v>599</v>
      </c>
    </row>
    <row r="468" spans="1:76" s="81" customFormat="1" x14ac:dyDescent="0.25">
      <c r="A468" s="109" t="s">
        <v>54</v>
      </c>
      <c r="B468" s="74" t="s">
        <v>55</v>
      </c>
      <c r="C468" s="74" t="s">
        <v>364</v>
      </c>
      <c r="D468" s="180" t="s">
        <v>600</v>
      </c>
      <c r="E468" s="180"/>
      <c r="F468" s="85" t="s">
        <v>4</v>
      </c>
      <c r="G468" s="85" t="s">
        <v>4</v>
      </c>
      <c r="H468" s="98"/>
      <c r="I468" s="85" t="s">
        <v>4</v>
      </c>
      <c r="J468" s="86">
        <f>SUM(J469:J654)</f>
        <v>0</v>
      </c>
      <c r="K468" s="86">
        <f>SUM(K469:K654)</f>
        <v>0</v>
      </c>
      <c r="L468" s="86">
        <f>SUM(L469:L654)</f>
        <v>0</v>
      </c>
      <c r="M468" s="86">
        <f>SUM(M469:M654)</f>
        <v>0</v>
      </c>
      <c r="N468" s="87" t="s">
        <v>54</v>
      </c>
      <c r="O468" s="86">
        <f>SUM(O469:O654)</f>
        <v>636.19460263320002</v>
      </c>
      <c r="P468" s="87" t="s">
        <v>54</v>
      </c>
      <c r="AI468" s="88" t="s">
        <v>55</v>
      </c>
      <c r="AS468" s="89">
        <f>SUM(AJ469:AJ654)</f>
        <v>0</v>
      </c>
      <c r="AT468" s="89">
        <f>SUM(AK469:AK654)</f>
        <v>0</v>
      </c>
      <c r="AU468" s="89">
        <f>SUM(AL469:AL654)</f>
        <v>0</v>
      </c>
    </row>
    <row r="469" spans="1:76" s="81" customFormat="1" x14ac:dyDescent="0.25">
      <c r="A469" s="66" t="s">
        <v>601</v>
      </c>
      <c r="B469" s="72" t="s">
        <v>55</v>
      </c>
      <c r="C469" s="72" t="s">
        <v>602</v>
      </c>
      <c r="D469" s="174" t="s">
        <v>603</v>
      </c>
      <c r="E469" s="174"/>
      <c r="F469" s="72" t="s">
        <v>62</v>
      </c>
      <c r="G469" s="90">
        <v>32.756</v>
      </c>
      <c r="H469" s="91"/>
      <c r="I469" s="92" t="s">
        <v>63</v>
      </c>
      <c r="J469" s="90">
        <f>G469*AO469</f>
        <v>0</v>
      </c>
      <c r="K469" s="90">
        <f>G469*AP469</f>
        <v>0</v>
      </c>
      <c r="L469" s="90">
        <f>G469*H469</f>
        <v>0</v>
      </c>
      <c r="M469" s="90">
        <f>L469*(1+BW469/100)</f>
        <v>0</v>
      </c>
      <c r="N469" s="90">
        <v>2.5251399999999999</v>
      </c>
      <c r="O469" s="90">
        <f>G469*N469</f>
        <v>82.713485840000004</v>
      </c>
      <c r="P469" s="92" t="s">
        <v>64</v>
      </c>
      <c r="Z469" s="93">
        <f>IF(AQ469="5",BJ469,0)</f>
        <v>0</v>
      </c>
      <c r="AB469" s="93">
        <f>IF(AQ469="1",BH469,0)</f>
        <v>0</v>
      </c>
      <c r="AC469" s="93">
        <f>IF(AQ469="1",BI469,0)</f>
        <v>0</v>
      </c>
      <c r="AD469" s="93">
        <f>IF(AQ469="7",BH469,0)</f>
        <v>0</v>
      </c>
      <c r="AE469" s="93">
        <f>IF(AQ469="7",BI469,0)</f>
        <v>0</v>
      </c>
      <c r="AF469" s="93">
        <f>IF(AQ469="2",BH469,0)</f>
        <v>0</v>
      </c>
      <c r="AG469" s="93">
        <f>IF(AQ469="2",BI469,0)</f>
        <v>0</v>
      </c>
      <c r="AH469" s="93">
        <f>IF(AQ469="0",BJ469,0)</f>
        <v>0</v>
      </c>
      <c r="AI469" s="88" t="s">
        <v>55</v>
      </c>
      <c r="AJ469" s="93">
        <f>IF(AN469=0,L469,0)</f>
        <v>0</v>
      </c>
      <c r="AK469" s="93">
        <f>IF(AN469=12,L469,0)</f>
        <v>0</v>
      </c>
      <c r="AL469" s="93">
        <f>IF(AN469=21,L469,0)</f>
        <v>0</v>
      </c>
      <c r="AN469" s="93">
        <v>21</v>
      </c>
      <c r="AO469" s="93">
        <f>H469*0.881729837</f>
        <v>0</v>
      </c>
      <c r="AP469" s="93">
        <f>H469*(1-0.881729837)</f>
        <v>0</v>
      </c>
      <c r="AQ469" s="94" t="s">
        <v>59</v>
      </c>
      <c r="AV469" s="93">
        <f>AW469+AX469</f>
        <v>0</v>
      </c>
      <c r="AW469" s="93">
        <f>G469*AO469</f>
        <v>0</v>
      </c>
      <c r="AX469" s="93">
        <f>G469*AP469</f>
        <v>0</v>
      </c>
      <c r="AY469" s="94" t="s">
        <v>604</v>
      </c>
      <c r="AZ469" s="94" t="s">
        <v>605</v>
      </c>
      <c r="BA469" s="88" t="s">
        <v>67</v>
      </c>
      <c r="BC469" s="93">
        <f>AW469+AX469</f>
        <v>0</v>
      </c>
      <c r="BD469" s="93">
        <f>H469/(100-BE469)*100</f>
        <v>0</v>
      </c>
      <c r="BE469" s="93">
        <v>0</v>
      </c>
      <c r="BF469" s="93">
        <f>O469</f>
        <v>82.713485840000004</v>
      </c>
      <c r="BH469" s="93">
        <f>G469*AO469</f>
        <v>0</v>
      </c>
      <c r="BI469" s="93">
        <f>G469*AP469</f>
        <v>0</v>
      </c>
      <c r="BJ469" s="93">
        <f>G469*H469</f>
        <v>0</v>
      </c>
      <c r="BK469" s="93"/>
      <c r="BL469" s="93">
        <v>41</v>
      </c>
      <c r="BW469" s="93" t="str">
        <f>I469</f>
        <v>21</v>
      </c>
      <c r="BX469" s="2" t="s">
        <v>603</v>
      </c>
    </row>
    <row r="470" spans="1:76" s="81" customFormat="1" x14ac:dyDescent="0.25">
      <c r="A470" s="110"/>
      <c r="B470" s="95"/>
      <c r="C470" s="95"/>
      <c r="D470" s="76" t="s">
        <v>54</v>
      </c>
      <c r="E470" s="76" t="s">
        <v>606</v>
      </c>
      <c r="F470" s="95"/>
      <c r="G470" s="96">
        <v>0</v>
      </c>
      <c r="H470" s="97"/>
      <c r="I470" s="95"/>
      <c r="J470" s="95"/>
      <c r="K470" s="95"/>
      <c r="L470" s="95"/>
      <c r="M470" s="95"/>
      <c r="N470" s="95"/>
      <c r="O470" s="95"/>
      <c r="P470" s="95"/>
    </row>
    <row r="471" spans="1:76" s="81" customFormat="1" x14ac:dyDescent="0.25">
      <c r="A471" s="110"/>
      <c r="B471" s="95"/>
      <c r="C471" s="95"/>
      <c r="D471" s="76" t="s">
        <v>54</v>
      </c>
      <c r="E471" s="76" t="s">
        <v>607</v>
      </c>
      <c r="F471" s="95"/>
      <c r="G471" s="96">
        <v>0</v>
      </c>
      <c r="H471" s="97"/>
      <c r="I471" s="95"/>
      <c r="J471" s="95"/>
      <c r="K471" s="95"/>
      <c r="L471" s="95"/>
      <c r="M471" s="95"/>
      <c r="N471" s="95"/>
      <c r="O471" s="95"/>
      <c r="P471" s="95"/>
    </row>
    <row r="472" spans="1:76" s="81" customFormat="1" x14ac:dyDescent="0.25">
      <c r="A472" s="110"/>
      <c r="B472" s="95"/>
      <c r="C472" s="95"/>
      <c r="D472" s="76" t="s">
        <v>608</v>
      </c>
      <c r="E472" s="76" t="s">
        <v>54</v>
      </c>
      <c r="F472" s="95"/>
      <c r="G472" s="96">
        <v>21.28</v>
      </c>
      <c r="H472" s="97"/>
      <c r="I472" s="95"/>
      <c r="J472" s="95"/>
      <c r="K472" s="95"/>
      <c r="L472" s="95"/>
      <c r="M472" s="95"/>
      <c r="N472" s="95"/>
      <c r="O472" s="95"/>
      <c r="P472" s="95"/>
    </row>
    <row r="473" spans="1:76" s="81" customFormat="1" x14ac:dyDescent="0.25">
      <c r="A473" s="110"/>
      <c r="B473" s="95"/>
      <c r="C473" s="95"/>
      <c r="D473" s="76" t="s">
        <v>54</v>
      </c>
      <c r="E473" s="76" t="s">
        <v>609</v>
      </c>
      <c r="F473" s="95"/>
      <c r="G473" s="96">
        <v>0</v>
      </c>
      <c r="H473" s="97"/>
      <c r="I473" s="95"/>
      <c r="J473" s="95"/>
      <c r="K473" s="95"/>
      <c r="L473" s="95"/>
      <c r="M473" s="95"/>
      <c r="N473" s="95"/>
      <c r="O473" s="95"/>
      <c r="P473" s="95"/>
    </row>
    <row r="474" spans="1:76" s="81" customFormat="1" x14ac:dyDescent="0.25">
      <c r="A474" s="110"/>
      <c r="B474" s="95"/>
      <c r="C474" s="95"/>
      <c r="D474" s="76" t="s">
        <v>610</v>
      </c>
      <c r="E474" s="76" t="s">
        <v>54</v>
      </c>
      <c r="F474" s="95"/>
      <c r="G474" s="96">
        <v>11.476000000000001</v>
      </c>
      <c r="H474" s="97"/>
      <c r="I474" s="95"/>
      <c r="J474" s="95"/>
      <c r="K474" s="95"/>
      <c r="L474" s="95"/>
      <c r="M474" s="95"/>
      <c r="N474" s="95"/>
      <c r="O474" s="95"/>
      <c r="P474" s="95"/>
    </row>
    <row r="475" spans="1:76" s="81" customFormat="1" ht="25.5" x14ac:dyDescent="0.25">
      <c r="A475" s="66" t="s">
        <v>611</v>
      </c>
      <c r="B475" s="72" t="s">
        <v>55</v>
      </c>
      <c r="C475" s="72" t="s">
        <v>612</v>
      </c>
      <c r="D475" s="174" t="s">
        <v>613</v>
      </c>
      <c r="E475" s="174"/>
      <c r="F475" s="72" t="s">
        <v>192</v>
      </c>
      <c r="G475" s="90">
        <v>517</v>
      </c>
      <c r="H475" s="91"/>
      <c r="I475" s="92" t="s">
        <v>63</v>
      </c>
      <c r="J475" s="90">
        <f>G475*AO475</f>
        <v>0</v>
      </c>
      <c r="K475" s="90">
        <f>G475*AP475</f>
        <v>0</v>
      </c>
      <c r="L475" s="90">
        <f>G475*H475</f>
        <v>0</v>
      </c>
      <c r="M475" s="90">
        <f>L475*(1+BW475/100)</f>
        <v>0</v>
      </c>
      <c r="N475" s="90">
        <v>1.059E-2</v>
      </c>
      <c r="O475" s="90">
        <f>G475*N475</f>
        <v>5.4750300000000003</v>
      </c>
      <c r="P475" s="92" t="s">
        <v>64</v>
      </c>
      <c r="Z475" s="93">
        <f>IF(AQ475="5",BJ475,0)</f>
        <v>0</v>
      </c>
      <c r="AB475" s="93">
        <f>IF(AQ475="1",BH475,0)</f>
        <v>0</v>
      </c>
      <c r="AC475" s="93">
        <f>IF(AQ475="1",BI475,0)</f>
        <v>0</v>
      </c>
      <c r="AD475" s="93">
        <f>IF(AQ475="7",BH475,0)</f>
        <v>0</v>
      </c>
      <c r="AE475" s="93">
        <f>IF(AQ475="7",BI475,0)</f>
        <v>0</v>
      </c>
      <c r="AF475" s="93">
        <f>IF(AQ475="2",BH475,0)</f>
        <v>0</v>
      </c>
      <c r="AG475" s="93">
        <f>IF(AQ475="2",BI475,0)</f>
        <v>0</v>
      </c>
      <c r="AH475" s="93">
        <f>IF(AQ475="0",BJ475,0)</f>
        <v>0</v>
      </c>
      <c r="AI475" s="88" t="s">
        <v>55</v>
      </c>
      <c r="AJ475" s="93">
        <f>IF(AN475=0,L475,0)</f>
        <v>0</v>
      </c>
      <c r="AK475" s="93">
        <f>IF(AN475=12,L475,0)</f>
        <v>0</v>
      </c>
      <c r="AL475" s="93">
        <f>IF(AN475=21,L475,0)</f>
        <v>0</v>
      </c>
      <c r="AN475" s="93">
        <v>21</v>
      </c>
      <c r="AO475" s="93">
        <f>H475*0.932286585</f>
        <v>0</v>
      </c>
      <c r="AP475" s="93">
        <f>H475*(1-0.932286585)</f>
        <v>0</v>
      </c>
      <c r="AQ475" s="94" t="s">
        <v>59</v>
      </c>
      <c r="AV475" s="93">
        <f>AW475+AX475</f>
        <v>0</v>
      </c>
      <c r="AW475" s="93">
        <f>G475*AO475</f>
        <v>0</v>
      </c>
      <c r="AX475" s="93">
        <f>G475*AP475</f>
        <v>0</v>
      </c>
      <c r="AY475" s="94" t="s">
        <v>604</v>
      </c>
      <c r="AZ475" s="94" t="s">
        <v>605</v>
      </c>
      <c r="BA475" s="88" t="s">
        <v>67</v>
      </c>
      <c r="BC475" s="93">
        <f>AW475+AX475</f>
        <v>0</v>
      </c>
      <c r="BD475" s="93">
        <f>H475/(100-BE475)*100</f>
        <v>0</v>
      </c>
      <c r="BE475" s="93">
        <v>0</v>
      </c>
      <c r="BF475" s="93">
        <f>O475</f>
        <v>5.4750300000000003</v>
      </c>
      <c r="BH475" s="93">
        <f>G475*AO475</f>
        <v>0</v>
      </c>
      <c r="BI475" s="93">
        <f>G475*AP475</f>
        <v>0</v>
      </c>
      <c r="BJ475" s="93">
        <f>G475*H475</f>
        <v>0</v>
      </c>
      <c r="BK475" s="93"/>
      <c r="BL475" s="93">
        <v>41</v>
      </c>
      <c r="BW475" s="93" t="str">
        <f>I475</f>
        <v>21</v>
      </c>
      <c r="BX475" s="2" t="s">
        <v>613</v>
      </c>
    </row>
    <row r="476" spans="1:76" s="81" customFormat="1" x14ac:dyDescent="0.25">
      <c r="A476" s="110"/>
      <c r="B476" s="95"/>
      <c r="C476" s="95"/>
      <c r="D476" s="76" t="s">
        <v>54</v>
      </c>
      <c r="E476" s="76" t="s">
        <v>606</v>
      </c>
      <c r="F476" s="95"/>
      <c r="G476" s="96">
        <v>0</v>
      </c>
      <c r="H476" s="97"/>
      <c r="I476" s="95"/>
      <c r="J476" s="95"/>
      <c r="K476" s="95"/>
      <c r="L476" s="95"/>
      <c r="M476" s="95"/>
      <c r="N476" s="95"/>
      <c r="O476" s="95"/>
      <c r="P476" s="95"/>
    </row>
    <row r="477" spans="1:76" s="81" customFormat="1" x14ac:dyDescent="0.25">
      <c r="A477" s="110"/>
      <c r="B477" s="95"/>
      <c r="C477" s="95"/>
      <c r="D477" s="76" t="s">
        <v>54</v>
      </c>
      <c r="E477" s="76" t="s">
        <v>607</v>
      </c>
      <c r="F477" s="95"/>
      <c r="G477" s="96">
        <v>0</v>
      </c>
      <c r="H477" s="97"/>
      <c r="I477" s="95"/>
      <c r="J477" s="95"/>
      <c r="K477" s="95"/>
      <c r="L477" s="95"/>
      <c r="M477" s="95"/>
      <c r="N477" s="95"/>
      <c r="O477" s="95"/>
      <c r="P477" s="95"/>
    </row>
    <row r="478" spans="1:76" s="81" customFormat="1" x14ac:dyDescent="0.25">
      <c r="A478" s="110"/>
      <c r="B478" s="95"/>
      <c r="C478" s="95"/>
      <c r="D478" s="76" t="s">
        <v>614</v>
      </c>
      <c r="E478" s="76" t="s">
        <v>54</v>
      </c>
      <c r="F478" s="95"/>
      <c r="G478" s="96">
        <v>336</v>
      </c>
      <c r="H478" s="97"/>
      <c r="I478" s="95"/>
      <c r="J478" s="95"/>
      <c r="K478" s="95"/>
      <c r="L478" s="95"/>
      <c r="M478" s="95"/>
      <c r="N478" s="95"/>
      <c r="O478" s="95"/>
      <c r="P478" s="95"/>
    </row>
    <row r="479" spans="1:76" s="81" customFormat="1" x14ac:dyDescent="0.25">
      <c r="A479" s="110"/>
      <c r="B479" s="95"/>
      <c r="C479" s="95"/>
      <c r="D479" s="76" t="s">
        <v>54</v>
      </c>
      <c r="E479" s="76" t="s">
        <v>609</v>
      </c>
      <c r="F479" s="95"/>
      <c r="G479" s="96">
        <v>0</v>
      </c>
      <c r="H479" s="97"/>
      <c r="I479" s="95"/>
      <c r="J479" s="95"/>
      <c r="K479" s="95"/>
      <c r="L479" s="95"/>
      <c r="M479" s="95"/>
      <c r="N479" s="95"/>
      <c r="O479" s="95"/>
      <c r="P479" s="95"/>
    </row>
    <row r="480" spans="1:76" s="81" customFormat="1" x14ac:dyDescent="0.25">
      <c r="A480" s="110"/>
      <c r="B480" s="95"/>
      <c r="C480" s="95"/>
      <c r="D480" s="76" t="s">
        <v>615</v>
      </c>
      <c r="E480" s="76" t="s">
        <v>54</v>
      </c>
      <c r="F480" s="95"/>
      <c r="G480" s="96">
        <v>181</v>
      </c>
      <c r="H480" s="97"/>
      <c r="I480" s="95"/>
      <c r="J480" s="95"/>
      <c r="K480" s="95"/>
      <c r="L480" s="95"/>
      <c r="M480" s="95"/>
      <c r="N480" s="95"/>
      <c r="O480" s="95"/>
      <c r="P480" s="95"/>
    </row>
    <row r="481" spans="1:76" s="81" customFormat="1" x14ac:dyDescent="0.25">
      <c r="A481" s="66" t="s">
        <v>616</v>
      </c>
      <c r="B481" s="72" t="s">
        <v>55</v>
      </c>
      <c r="C481" s="72" t="s">
        <v>617</v>
      </c>
      <c r="D481" s="174" t="s">
        <v>618</v>
      </c>
      <c r="E481" s="174"/>
      <c r="F481" s="72" t="s">
        <v>62</v>
      </c>
      <c r="G481" s="90">
        <v>43.624760000000002</v>
      </c>
      <c r="H481" s="91"/>
      <c r="I481" s="92" t="s">
        <v>63</v>
      </c>
      <c r="J481" s="90">
        <f>G481*AO481</f>
        <v>0</v>
      </c>
      <c r="K481" s="90">
        <f>G481*AP481</f>
        <v>0</v>
      </c>
      <c r="L481" s="90">
        <f>G481*H481</f>
        <v>0</v>
      </c>
      <c r="M481" s="90">
        <f>L481*(1+BW481/100)</f>
        <v>0</v>
      </c>
      <c r="N481" s="90">
        <v>2.5251399999999999</v>
      </c>
      <c r="O481" s="90">
        <f>G481*N481</f>
        <v>110.15862646640001</v>
      </c>
      <c r="P481" s="92" t="s">
        <v>64</v>
      </c>
      <c r="Z481" s="93">
        <f>IF(AQ481="5",BJ481,0)</f>
        <v>0</v>
      </c>
      <c r="AB481" s="93">
        <f>IF(AQ481="1",BH481,0)</f>
        <v>0</v>
      </c>
      <c r="AC481" s="93">
        <f>IF(AQ481="1",BI481,0)</f>
        <v>0</v>
      </c>
      <c r="AD481" s="93">
        <f>IF(AQ481="7",BH481,0)</f>
        <v>0</v>
      </c>
      <c r="AE481" s="93">
        <f>IF(AQ481="7",BI481,0)</f>
        <v>0</v>
      </c>
      <c r="AF481" s="93">
        <f>IF(AQ481="2",BH481,0)</f>
        <v>0</v>
      </c>
      <c r="AG481" s="93">
        <f>IF(AQ481="2",BI481,0)</f>
        <v>0</v>
      </c>
      <c r="AH481" s="93">
        <f>IF(AQ481="0",BJ481,0)</f>
        <v>0</v>
      </c>
      <c r="AI481" s="88" t="s">
        <v>55</v>
      </c>
      <c r="AJ481" s="93">
        <f>IF(AN481=0,L481,0)</f>
        <v>0</v>
      </c>
      <c r="AK481" s="93">
        <f>IF(AN481=12,L481,0)</f>
        <v>0</v>
      </c>
      <c r="AL481" s="93">
        <f>IF(AN481=21,L481,0)</f>
        <v>0</v>
      </c>
      <c r="AN481" s="93">
        <v>21</v>
      </c>
      <c r="AO481" s="93">
        <f>H481*0.878539687</f>
        <v>0</v>
      </c>
      <c r="AP481" s="93">
        <f>H481*(1-0.878539687)</f>
        <v>0</v>
      </c>
      <c r="AQ481" s="94" t="s">
        <v>59</v>
      </c>
      <c r="AV481" s="93">
        <f>AW481+AX481</f>
        <v>0</v>
      </c>
      <c r="AW481" s="93">
        <f>G481*AO481</f>
        <v>0</v>
      </c>
      <c r="AX481" s="93">
        <f>G481*AP481</f>
        <v>0</v>
      </c>
      <c r="AY481" s="94" t="s">
        <v>604</v>
      </c>
      <c r="AZ481" s="94" t="s">
        <v>605</v>
      </c>
      <c r="BA481" s="88" t="s">
        <v>67</v>
      </c>
      <c r="BC481" s="93">
        <f>AW481+AX481</f>
        <v>0</v>
      </c>
      <c r="BD481" s="93">
        <f>H481/(100-BE481)*100</f>
        <v>0</v>
      </c>
      <c r="BE481" s="93">
        <v>0</v>
      </c>
      <c r="BF481" s="93">
        <f>O481</f>
        <v>110.15862646640001</v>
      </c>
      <c r="BH481" s="93">
        <f>G481*AO481</f>
        <v>0</v>
      </c>
      <c r="BI481" s="93">
        <f>G481*AP481</f>
        <v>0</v>
      </c>
      <c r="BJ481" s="93">
        <f>G481*H481</f>
        <v>0</v>
      </c>
      <c r="BK481" s="93"/>
      <c r="BL481" s="93">
        <v>41</v>
      </c>
      <c r="BW481" s="93" t="str">
        <f>I481</f>
        <v>21</v>
      </c>
      <c r="BX481" s="2" t="s">
        <v>618</v>
      </c>
    </row>
    <row r="482" spans="1:76" s="81" customFormat="1" x14ac:dyDescent="0.25">
      <c r="A482" s="110"/>
      <c r="B482" s="95"/>
      <c r="C482" s="95"/>
      <c r="D482" s="76" t="s">
        <v>54</v>
      </c>
      <c r="E482" s="76" t="s">
        <v>619</v>
      </c>
      <c r="F482" s="95"/>
      <c r="G482" s="96">
        <v>0</v>
      </c>
      <c r="H482" s="97"/>
      <c r="I482" s="95"/>
      <c r="J482" s="95"/>
      <c r="K482" s="95"/>
      <c r="L482" s="95"/>
      <c r="M482" s="95"/>
      <c r="N482" s="95"/>
      <c r="O482" s="95"/>
      <c r="P482" s="95"/>
    </row>
    <row r="483" spans="1:76" s="81" customFormat="1" x14ac:dyDescent="0.25">
      <c r="A483" s="110"/>
      <c r="B483" s="95"/>
      <c r="C483" s="95"/>
      <c r="D483" s="76" t="s">
        <v>54</v>
      </c>
      <c r="E483" s="76" t="s">
        <v>620</v>
      </c>
      <c r="F483" s="95"/>
      <c r="G483" s="96">
        <v>0</v>
      </c>
      <c r="H483" s="97"/>
      <c r="I483" s="95"/>
      <c r="J483" s="95"/>
      <c r="K483" s="95"/>
      <c r="L483" s="95"/>
      <c r="M483" s="95"/>
      <c r="N483" s="95"/>
      <c r="O483" s="95"/>
      <c r="P483" s="95"/>
    </row>
    <row r="484" spans="1:76" s="81" customFormat="1" x14ac:dyDescent="0.25">
      <c r="A484" s="110"/>
      <c r="B484" s="95"/>
      <c r="C484" s="95"/>
      <c r="D484" s="76" t="s">
        <v>621</v>
      </c>
      <c r="E484" s="76" t="s">
        <v>54</v>
      </c>
      <c r="F484" s="95"/>
      <c r="G484" s="96">
        <v>11.973240000000001</v>
      </c>
      <c r="H484" s="97"/>
      <c r="I484" s="95"/>
      <c r="J484" s="95"/>
      <c r="K484" s="95"/>
      <c r="L484" s="95"/>
      <c r="M484" s="95"/>
      <c r="N484" s="95"/>
      <c r="O484" s="95"/>
      <c r="P484" s="95"/>
    </row>
    <row r="485" spans="1:76" s="81" customFormat="1" x14ac:dyDescent="0.25">
      <c r="A485" s="110"/>
      <c r="B485" s="95"/>
      <c r="C485" s="95"/>
      <c r="D485" s="76" t="s">
        <v>622</v>
      </c>
      <c r="E485" s="76" t="s">
        <v>54</v>
      </c>
      <c r="F485" s="95"/>
      <c r="G485" s="96">
        <v>1.611</v>
      </c>
      <c r="H485" s="97"/>
      <c r="I485" s="95"/>
      <c r="J485" s="95"/>
      <c r="K485" s="95"/>
      <c r="L485" s="95"/>
      <c r="M485" s="95"/>
      <c r="N485" s="95"/>
      <c r="O485" s="95"/>
      <c r="P485" s="95"/>
    </row>
    <row r="486" spans="1:76" s="81" customFormat="1" x14ac:dyDescent="0.25">
      <c r="A486" s="110"/>
      <c r="B486" s="95"/>
      <c r="C486" s="95"/>
      <c r="D486" s="76" t="s">
        <v>623</v>
      </c>
      <c r="E486" s="76" t="s">
        <v>54</v>
      </c>
      <c r="F486" s="95"/>
      <c r="G486" s="96">
        <v>12.80125</v>
      </c>
      <c r="H486" s="97"/>
      <c r="I486" s="95"/>
      <c r="J486" s="95"/>
      <c r="K486" s="95"/>
      <c r="L486" s="95"/>
      <c r="M486" s="95"/>
      <c r="N486" s="95"/>
      <c r="O486" s="95"/>
      <c r="P486" s="95"/>
    </row>
    <row r="487" spans="1:76" s="81" customFormat="1" x14ac:dyDescent="0.25">
      <c r="A487" s="110"/>
      <c r="B487" s="95"/>
      <c r="C487" s="95"/>
      <c r="D487" s="76" t="s">
        <v>624</v>
      </c>
      <c r="E487" s="76" t="s">
        <v>54</v>
      </c>
      <c r="F487" s="95"/>
      <c r="G487" s="96">
        <v>3.2429999999999999</v>
      </c>
      <c r="H487" s="97"/>
      <c r="I487" s="95"/>
      <c r="J487" s="95"/>
      <c r="K487" s="95"/>
      <c r="L487" s="95"/>
      <c r="M487" s="95"/>
      <c r="N487" s="95"/>
      <c r="O487" s="95"/>
      <c r="P487" s="95"/>
    </row>
    <row r="488" spans="1:76" s="81" customFormat="1" x14ac:dyDescent="0.25">
      <c r="A488" s="110"/>
      <c r="B488" s="95"/>
      <c r="C488" s="95"/>
      <c r="D488" s="76" t="s">
        <v>54</v>
      </c>
      <c r="E488" s="76" t="s">
        <v>625</v>
      </c>
      <c r="F488" s="95"/>
      <c r="G488" s="96">
        <v>0</v>
      </c>
      <c r="H488" s="97"/>
      <c r="I488" s="95"/>
      <c r="J488" s="95"/>
      <c r="K488" s="95"/>
      <c r="L488" s="95"/>
      <c r="M488" s="95"/>
      <c r="N488" s="95"/>
      <c r="O488" s="95"/>
      <c r="P488" s="95"/>
    </row>
    <row r="489" spans="1:76" s="81" customFormat="1" x14ac:dyDescent="0.25">
      <c r="A489" s="110"/>
      <c r="B489" s="95"/>
      <c r="C489" s="95"/>
      <c r="D489" s="76" t="s">
        <v>626</v>
      </c>
      <c r="E489" s="76" t="s">
        <v>54</v>
      </c>
      <c r="F489" s="95"/>
      <c r="G489" s="96">
        <v>13.996270000000001</v>
      </c>
      <c r="H489" s="97"/>
      <c r="I489" s="95"/>
      <c r="J489" s="95"/>
      <c r="K489" s="95"/>
      <c r="L489" s="95"/>
      <c r="M489" s="95"/>
      <c r="N489" s="95"/>
      <c r="O489" s="95"/>
      <c r="P489" s="95"/>
    </row>
    <row r="490" spans="1:76" s="81" customFormat="1" x14ac:dyDescent="0.25">
      <c r="A490" s="66" t="s">
        <v>627</v>
      </c>
      <c r="B490" s="72" t="s">
        <v>55</v>
      </c>
      <c r="C490" s="72" t="s">
        <v>628</v>
      </c>
      <c r="D490" s="174" t="s">
        <v>629</v>
      </c>
      <c r="E490" s="174"/>
      <c r="F490" s="72" t="s">
        <v>213</v>
      </c>
      <c r="G490" s="90">
        <v>43.332599999999999</v>
      </c>
      <c r="H490" s="91"/>
      <c r="I490" s="92" t="s">
        <v>63</v>
      </c>
      <c r="J490" s="90">
        <f>G490*AO490</f>
        <v>0</v>
      </c>
      <c r="K490" s="90">
        <f>G490*AP490</f>
        <v>0</v>
      </c>
      <c r="L490" s="90">
        <f>G490*H490</f>
        <v>0</v>
      </c>
      <c r="M490" s="90">
        <f>L490*(1+BW490/100)</f>
        <v>0</v>
      </c>
      <c r="N490" s="90">
        <v>3.0470000000000001E-2</v>
      </c>
      <c r="O490" s="90">
        <f>G490*N490</f>
        <v>1.320344322</v>
      </c>
      <c r="P490" s="92" t="s">
        <v>64</v>
      </c>
      <c r="Z490" s="93">
        <f>IF(AQ490="5",BJ490,0)</f>
        <v>0</v>
      </c>
      <c r="AB490" s="93">
        <f>IF(AQ490="1",BH490,0)</f>
        <v>0</v>
      </c>
      <c r="AC490" s="93">
        <f>IF(AQ490="1",BI490,0)</f>
        <v>0</v>
      </c>
      <c r="AD490" s="93">
        <f>IF(AQ490="7",BH490,0)</f>
        <v>0</v>
      </c>
      <c r="AE490" s="93">
        <f>IF(AQ490="7",BI490,0)</f>
        <v>0</v>
      </c>
      <c r="AF490" s="93">
        <f>IF(AQ490="2",BH490,0)</f>
        <v>0</v>
      </c>
      <c r="AG490" s="93">
        <f>IF(AQ490="2",BI490,0)</f>
        <v>0</v>
      </c>
      <c r="AH490" s="93">
        <f>IF(AQ490="0",BJ490,0)</f>
        <v>0</v>
      </c>
      <c r="AI490" s="88" t="s">
        <v>55</v>
      </c>
      <c r="AJ490" s="93">
        <f>IF(AN490=0,L490,0)</f>
        <v>0</v>
      </c>
      <c r="AK490" s="93">
        <f>IF(AN490=12,L490,0)</f>
        <v>0</v>
      </c>
      <c r="AL490" s="93">
        <f>IF(AN490=21,L490,0)</f>
        <v>0</v>
      </c>
      <c r="AN490" s="93">
        <v>21</v>
      </c>
      <c r="AO490" s="93">
        <f>H490*0.213727929</f>
        <v>0</v>
      </c>
      <c r="AP490" s="93">
        <f>H490*(1-0.213727929)</f>
        <v>0</v>
      </c>
      <c r="AQ490" s="94" t="s">
        <v>59</v>
      </c>
      <c r="AV490" s="93">
        <f>AW490+AX490</f>
        <v>0</v>
      </c>
      <c r="AW490" s="93">
        <f>G490*AO490</f>
        <v>0</v>
      </c>
      <c r="AX490" s="93">
        <f>G490*AP490</f>
        <v>0</v>
      </c>
      <c r="AY490" s="94" t="s">
        <v>604</v>
      </c>
      <c r="AZ490" s="94" t="s">
        <v>605</v>
      </c>
      <c r="BA490" s="88" t="s">
        <v>67</v>
      </c>
      <c r="BC490" s="93">
        <f>AW490+AX490</f>
        <v>0</v>
      </c>
      <c r="BD490" s="93">
        <f>H490/(100-BE490)*100</f>
        <v>0</v>
      </c>
      <c r="BE490" s="93">
        <v>0</v>
      </c>
      <c r="BF490" s="93">
        <f>O490</f>
        <v>1.320344322</v>
      </c>
      <c r="BH490" s="93">
        <f>G490*AO490</f>
        <v>0</v>
      </c>
      <c r="BI490" s="93">
        <f>G490*AP490</f>
        <v>0</v>
      </c>
      <c r="BJ490" s="93">
        <f>G490*H490</f>
        <v>0</v>
      </c>
      <c r="BK490" s="93"/>
      <c r="BL490" s="93">
        <v>41</v>
      </c>
      <c r="BW490" s="93" t="str">
        <f>I490</f>
        <v>21</v>
      </c>
      <c r="BX490" s="2" t="s">
        <v>629</v>
      </c>
    </row>
    <row r="491" spans="1:76" s="81" customFormat="1" x14ac:dyDescent="0.25">
      <c r="A491" s="110"/>
      <c r="B491" s="95"/>
      <c r="C491" s="95"/>
      <c r="D491" s="76" t="s">
        <v>54</v>
      </c>
      <c r="E491" s="76" t="s">
        <v>606</v>
      </c>
      <c r="F491" s="95"/>
      <c r="G491" s="96">
        <v>0</v>
      </c>
      <c r="H491" s="97"/>
      <c r="I491" s="95"/>
      <c r="J491" s="95"/>
      <c r="K491" s="95"/>
      <c r="L491" s="95"/>
      <c r="M491" s="95"/>
      <c r="N491" s="95"/>
      <c r="O491" s="95"/>
      <c r="P491" s="95"/>
    </row>
    <row r="492" spans="1:76" s="81" customFormat="1" x14ac:dyDescent="0.25">
      <c r="A492" s="110"/>
      <c r="B492" s="95"/>
      <c r="C492" s="95"/>
      <c r="D492" s="76" t="s">
        <v>54</v>
      </c>
      <c r="E492" s="76" t="s">
        <v>607</v>
      </c>
      <c r="F492" s="95"/>
      <c r="G492" s="96">
        <v>0</v>
      </c>
      <c r="H492" s="97"/>
      <c r="I492" s="95"/>
      <c r="J492" s="95"/>
      <c r="K492" s="95"/>
      <c r="L492" s="95"/>
      <c r="M492" s="95"/>
      <c r="N492" s="95"/>
      <c r="O492" s="95"/>
      <c r="P492" s="95"/>
    </row>
    <row r="493" spans="1:76" s="81" customFormat="1" x14ac:dyDescent="0.25">
      <c r="A493" s="110"/>
      <c r="B493" s="95"/>
      <c r="C493" s="95"/>
      <c r="D493" s="76" t="s">
        <v>630</v>
      </c>
      <c r="E493" s="76" t="s">
        <v>54</v>
      </c>
      <c r="F493" s="95"/>
      <c r="G493" s="96">
        <v>8.0030000000000001</v>
      </c>
      <c r="H493" s="97"/>
      <c r="I493" s="95"/>
      <c r="J493" s="95"/>
      <c r="K493" s="95"/>
      <c r="L493" s="95"/>
      <c r="M493" s="95"/>
      <c r="N493" s="95"/>
      <c r="O493" s="95"/>
      <c r="P493" s="95"/>
    </row>
    <row r="494" spans="1:76" s="81" customFormat="1" x14ac:dyDescent="0.25">
      <c r="A494" s="110"/>
      <c r="B494" s="95"/>
      <c r="C494" s="95"/>
      <c r="D494" s="76" t="s">
        <v>54</v>
      </c>
      <c r="E494" s="76" t="s">
        <v>609</v>
      </c>
      <c r="F494" s="95"/>
      <c r="G494" s="96">
        <v>0</v>
      </c>
      <c r="H494" s="97"/>
      <c r="I494" s="95"/>
      <c r="J494" s="95"/>
      <c r="K494" s="95"/>
      <c r="L494" s="95"/>
      <c r="M494" s="95"/>
      <c r="N494" s="95"/>
      <c r="O494" s="95"/>
      <c r="P494" s="95"/>
    </row>
    <row r="495" spans="1:76" s="81" customFormat="1" x14ac:dyDescent="0.25">
      <c r="A495" s="110"/>
      <c r="B495" s="95"/>
      <c r="C495" s="95"/>
      <c r="D495" s="76" t="s">
        <v>631</v>
      </c>
      <c r="E495" s="76" t="s">
        <v>54</v>
      </c>
      <c r="F495" s="95"/>
      <c r="G495" s="96">
        <v>5.3739999999999997</v>
      </c>
      <c r="H495" s="97"/>
      <c r="I495" s="95"/>
      <c r="J495" s="95"/>
      <c r="K495" s="95"/>
      <c r="L495" s="95"/>
      <c r="M495" s="95"/>
      <c r="N495" s="95"/>
      <c r="O495" s="95"/>
      <c r="P495" s="95"/>
    </row>
    <row r="496" spans="1:76" s="81" customFormat="1" x14ac:dyDescent="0.25">
      <c r="A496" s="110"/>
      <c r="B496" s="95"/>
      <c r="C496" s="95"/>
      <c r="D496" s="76" t="s">
        <v>54</v>
      </c>
      <c r="E496" s="76" t="s">
        <v>619</v>
      </c>
      <c r="F496" s="95"/>
      <c r="G496" s="96">
        <v>0</v>
      </c>
      <c r="H496" s="97"/>
      <c r="I496" s="95"/>
      <c r="J496" s="95"/>
      <c r="K496" s="95"/>
      <c r="L496" s="95"/>
      <c r="M496" s="95"/>
      <c r="N496" s="95"/>
      <c r="O496" s="95"/>
      <c r="P496" s="95"/>
    </row>
    <row r="497" spans="1:76" s="81" customFormat="1" x14ac:dyDescent="0.25">
      <c r="A497" s="110"/>
      <c r="B497" s="95"/>
      <c r="C497" s="95"/>
      <c r="D497" s="76" t="s">
        <v>54</v>
      </c>
      <c r="E497" s="76" t="s">
        <v>620</v>
      </c>
      <c r="F497" s="95"/>
      <c r="G497" s="96">
        <v>0</v>
      </c>
      <c r="H497" s="97"/>
      <c r="I497" s="95"/>
      <c r="J497" s="95"/>
      <c r="K497" s="95"/>
      <c r="L497" s="95"/>
      <c r="M497" s="95"/>
      <c r="N497" s="95"/>
      <c r="O497" s="95"/>
      <c r="P497" s="95"/>
    </row>
    <row r="498" spans="1:76" s="81" customFormat="1" x14ac:dyDescent="0.25">
      <c r="A498" s="110"/>
      <c r="B498" s="95"/>
      <c r="C498" s="95"/>
      <c r="D498" s="76" t="s">
        <v>632</v>
      </c>
      <c r="E498" s="76" t="s">
        <v>54</v>
      </c>
      <c r="F498" s="95"/>
      <c r="G498" s="96">
        <v>6.8856000000000002</v>
      </c>
      <c r="H498" s="97"/>
      <c r="I498" s="95"/>
      <c r="J498" s="95"/>
      <c r="K498" s="95"/>
      <c r="L498" s="95"/>
      <c r="M498" s="95"/>
      <c r="N498" s="95"/>
      <c r="O498" s="95"/>
      <c r="P498" s="95"/>
    </row>
    <row r="499" spans="1:76" s="81" customFormat="1" x14ac:dyDescent="0.25">
      <c r="A499" s="110"/>
      <c r="B499" s="95"/>
      <c r="C499" s="95"/>
      <c r="D499" s="76" t="s">
        <v>633</v>
      </c>
      <c r="E499" s="76" t="s">
        <v>54</v>
      </c>
      <c r="F499" s="95"/>
      <c r="G499" s="96">
        <v>2.69</v>
      </c>
      <c r="H499" s="97"/>
      <c r="I499" s="95"/>
      <c r="J499" s="95"/>
      <c r="K499" s="95"/>
      <c r="L499" s="95"/>
      <c r="M499" s="95"/>
      <c r="N499" s="95"/>
      <c r="O499" s="95"/>
      <c r="P499" s="95"/>
    </row>
    <row r="500" spans="1:76" s="81" customFormat="1" x14ac:dyDescent="0.25">
      <c r="A500" s="110"/>
      <c r="B500" s="95"/>
      <c r="C500" s="95"/>
      <c r="D500" s="76" t="s">
        <v>634</v>
      </c>
      <c r="E500" s="76" t="s">
        <v>54</v>
      </c>
      <c r="F500" s="95"/>
      <c r="G500" s="96">
        <v>7.29</v>
      </c>
      <c r="H500" s="97"/>
      <c r="I500" s="95"/>
      <c r="J500" s="95"/>
      <c r="K500" s="95"/>
      <c r="L500" s="95"/>
      <c r="M500" s="95"/>
      <c r="N500" s="95"/>
      <c r="O500" s="95"/>
      <c r="P500" s="95"/>
    </row>
    <row r="501" spans="1:76" s="81" customFormat="1" x14ac:dyDescent="0.25">
      <c r="A501" s="110"/>
      <c r="B501" s="95"/>
      <c r="C501" s="95"/>
      <c r="D501" s="76" t="s">
        <v>635</v>
      </c>
      <c r="E501" s="76" t="s">
        <v>54</v>
      </c>
      <c r="F501" s="95"/>
      <c r="G501" s="96">
        <v>5.44</v>
      </c>
      <c r="H501" s="97"/>
      <c r="I501" s="95"/>
      <c r="J501" s="95"/>
      <c r="K501" s="95"/>
      <c r="L501" s="95"/>
      <c r="M501" s="95"/>
      <c r="N501" s="95"/>
      <c r="O501" s="95"/>
      <c r="P501" s="95"/>
    </row>
    <row r="502" spans="1:76" s="81" customFormat="1" x14ac:dyDescent="0.25">
      <c r="A502" s="110"/>
      <c r="B502" s="95"/>
      <c r="C502" s="95"/>
      <c r="D502" s="76" t="s">
        <v>54</v>
      </c>
      <c r="E502" s="76" t="s">
        <v>625</v>
      </c>
      <c r="F502" s="95"/>
      <c r="G502" s="96">
        <v>0</v>
      </c>
      <c r="H502" s="97"/>
      <c r="I502" s="95"/>
      <c r="J502" s="95"/>
      <c r="K502" s="95"/>
      <c r="L502" s="95"/>
      <c r="M502" s="95"/>
      <c r="N502" s="95"/>
      <c r="O502" s="95"/>
      <c r="P502" s="95"/>
    </row>
    <row r="503" spans="1:76" s="81" customFormat="1" x14ac:dyDescent="0.25">
      <c r="A503" s="110"/>
      <c r="B503" s="95"/>
      <c r="C503" s="95"/>
      <c r="D503" s="76" t="s">
        <v>636</v>
      </c>
      <c r="E503" s="76" t="s">
        <v>54</v>
      </c>
      <c r="F503" s="95"/>
      <c r="G503" s="96">
        <v>7.65</v>
      </c>
      <c r="H503" s="97"/>
      <c r="I503" s="95"/>
      <c r="J503" s="95"/>
      <c r="K503" s="95"/>
      <c r="L503" s="95"/>
      <c r="M503" s="95"/>
      <c r="N503" s="95"/>
      <c r="O503" s="95"/>
      <c r="P503" s="95"/>
    </row>
    <row r="504" spans="1:76" s="81" customFormat="1" x14ac:dyDescent="0.25">
      <c r="A504" s="66" t="s">
        <v>637</v>
      </c>
      <c r="B504" s="72" t="s">
        <v>55</v>
      </c>
      <c r="C504" s="72" t="s">
        <v>638</v>
      </c>
      <c r="D504" s="174" t="s">
        <v>639</v>
      </c>
      <c r="E504" s="174"/>
      <c r="F504" s="72" t="s">
        <v>213</v>
      </c>
      <c r="G504" s="90">
        <v>43.332599999999999</v>
      </c>
      <c r="H504" s="91"/>
      <c r="I504" s="92" t="s">
        <v>63</v>
      </c>
      <c r="J504" s="90">
        <f>G504*AO504</f>
        <v>0</v>
      </c>
      <c r="K504" s="90">
        <f>G504*AP504</f>
        <v>0</v>
      </c>
      <c r="L504" s="90">
        <f>G504*H504</f>
        <v>0</v>
      </c>
      <c r="M504" s="90">
        <f>L504*(1+BW504/100)</f>
        <v>0</v>
      </c>
      <c r="N504" s="90">
        <v>0</v>
      </c>
      <c r="O504" s="90">
        <f>G504*N504</f>
        <v>0</v>
      </c>
      <c r="P504" s="92" t="s">
        <v>64</v>
      </c>
      <c r="Z504" s="93">
        <f>IF(AQ504="5",BJ504,0)</f>
        <v>0</v>
      </c>
      <c r="AB504" s="93">
        <f>IF(AQ504="1",BH504,0)</f>
        <v>0</v>
      </c>
      <c r="AC504" s="93">
        <f>IF(AQ504="1",BI504,0)</f>
        <v>0</v>
      </c>
      <c r="AD504" s="93">
        <f>IF(AQ504="7",BH504,0)</f>
        <v>0</v>
      </c>
      <c r="AE504" s="93">
        <f>IF(AQ504="7",BI504,0)</f>
        <v>0</v>
      </c>
      <c r="AF504" s="93">
        <f>IF(AQ504="2",BH504,0)</f>
        <v>0</v>
      </c>
      <c r="AG504" s="93">
        <f>IF(AQ504="2",BI504,0)</f>
        <v>0</v>
      </c>
      <c r="AH504" s="93">
        <f>IF(AQ504="0",BJ504,0)</f>
        <v>0</v>
      </c>
      <c r="AI504" s="88" t="s">
        <v>55</v>
      </c>
      <c r="AJ504" s="93">
        <f>IF(AN504=0,L504,0)</f>
        <v>0</v>
      </c>
      <c r="AK504" s="93">
        <f>IF(AN504=12,L504,0)</f>
        <v>0</v>
      </c>
      <c r="AL504" s="93">
        <f>IF(AN504=21,L504,0)</f>
        <v>0</v>
      </c>
      <c r="AN504" s="93">
        <v>21</v>
      </c>
      <c r="AO504" s="93">
        <f>H504*0</f>
        <v>0</v>
      </c>
      <c r="AP504" s="93">
        <f>H504*(1-0)</f>
        <v>0</v>
      </c>
      <c r="AQ504" s="94" t="s">
        <v>59</v>
      </c>
      <c r="AV504" s="93">
        <f>AW504+AX504</f>
        <v>0</v>
      </c>
      <c r="AW504" s="93">
        <f>G504*AO504</f>
        <v>0</v>
      </c>
      <c r="AX504" s="93">
        <f>G504*AP504</f>
        <v>0</v>
      </c>
      <c r="AY504" s="94" t="s">
        <v>604</v>
      </c>
      <c r="AZ504" s="94" t="s">
        <v>605</v>
      </c>
      <c r="BA504" s="88" t="s">
        <v>67</v>
      </c>
      <c r="BC504" s="93">
        <f>AW504+AX504</f>
        <v>0</v>
      </c>
      <c r="BD504" s="93">
        <f>H504/(100-BE504)*100</f>
        <v>0</v>
      </c>
      <c r="BE504" s="93">
        <v>0</v>
      </c>
      <c r="BF504" s="93">
        <f>O504</f>
        <v>0</v>
      </c>
      <c r="BH504" s="93">
        <f>G504*AO504</f>
        <v>0</v>
      </c>
      <c r="BI504" s="93">
        <f>G504*AP504</f>
        <v>0</v>
      </c>
      <c r="BJ504" s="93">
        <f>G504*H504</f>
        <v>0</v>
      </c>
      <c r="BK504" s="93"/>
      <c r="BL504" s="93">
        <v>41</v>
      </c>
      <c r="BW504" s="93" t="str">
        <f>I504</f>
        <v>21</v>
      </c>
      <c r="BX504" s="2" t="s">
        <v>639</v>
      </c>
    </row>
    <row r="505" spans="1:76" s="81" customFormat="1" x14ac:dyDescent="0.25">
      <c r="A505" s="66" t="s">
        <v>640</v>
      </c>
      <c r="B505" s="72" t="s">
        <v>55</v>
      </c>
      <c r="C505" s="72" t="s">
        <v>641</v>
      </c>
      <c r="D505" s="174" t="s">
        <v>642</v>
      </c>
      <c r="E505" s="174"/>
      <c r="F505" s="72" t="s">
        <v>222</v>
      </c>
      <c r="G505" s="90">
        <v>4.7889999999999997</v>
      </c>
      <c r="H505" s="91"/>
      <c r="I505" s="92" t="s">
        <v>63</v>
      </c>
      <c r="J505" s="90">
        <f>G505*AO505</f>
        <v>0</v>
      </c>
      <c r="K505" s="90">
        <f>G505*AP505</f>
        <v>0</v>
      </c>
      <c r="L505" s="90">
        <f>G505*H505</f>
        <v>0</v>
      </c>
      <c r="M505" s="90">
        <f>L505*(1+BW505/100)</f>
        <v>0</v>
      </c>
      <c r="N505" s="90">
        <v>1.0554399999999999</v>
      </c>
      <c r="O505" s="90">
        <f>G505*N505</f>
        <v>5.0545021599999993</v>
      </c>
      <c r="P505" s="92" t="s">
        <v>64</v>
      </c>
      <c r="Z505" s="93">
        <f>IF(AQ505="5",BJ505,0)</f>
        <v>0</v>
      </c>
      <c r="AB505" s="93">
        <f>IF(AQ505="1",BH505,0)</f>
        <v>0</v>
      </c>
      <c r="AC505" s="93">
        <f>IF(AQ505="1",BI505,0)</f>
        <v>0</v>
      </c>
      <c r="AD505" s="93">
        <f>IF(AQ505="7",BH505,0)</f>
        <v>0</v>
      </c>
      <c r="AE505" s="93">
        <f>IF(AQ505="7",BI505,0)</f>
        <v>0</v>
      </c>
      <c r="AF505" s="93">
        <f>IF(AQ505="2",BH505,0)</f>
        <v>0</v>
      </c>
      <c r="AG505" s="93">
        <f>IF(AQ505="2",BI505,0)</f>
        <v>0</v>
      </c>
      <c r="AH505" s="93">
        <f>IF(AQ505="0",BJ505,0)</f>
        <v>0</v>
      </c>
      <c r="AI505" s="88" t="s">
        <v>55</v>
      </c>
      <c r="AJ505" s="93">
        <f>IF(AN505=0,L505,0)</f>
        <v>0</v>
      </c>
      <c r="AK505" s="93">
        <f>IF(AN505=12,L505,0)</f>
        <v>0</v>
      </c>
      <c r="AL505" s="93">
        <f>IF(AN505=21,L505,0)</f>
        <v>0</v>
      </c>
      <c r="AN505" s="93">
        <v>21</v>
      </c>
      <c r="AO505" s="93">
        <f>H505*0.800889833</f>
        <v>0</v>
      </c>
      <c r="AP505" s="93">
        <f>H505*(1-0.800889833)</f>
        <v>0</v>
      </c>
      <c r="AQ505" s="94" t="s">
        <v>59</v>
      </c>
      <c r="AV505" s="93">
        <f>AW505+AX505</f>
        <v>0</v>
      </c>
      <c r="AW505" s="93">
        <f>G505*AO505</f>
        <v>0</v>
      </c>
      <c r="AX505" s="93">
        <f>G505*AP505</f>
        <v>0</v>
      </c>
      <c r="AY505" s="94" t="s">
        <v>604</v>
      </c>
      <c r="AZ505" s="94" t="s">
        <v>605</v>
      </c>
      <c r="BA505" s="88" t="s">
        <v>67</v>
      </c>
      <c r="BC505" s="93">
        <f>AW505+AX505</f>
        <v>0</v>
      </c>
      <c r="BD505" s="93">
        <f>H505/(100-BE505)*100</f>
        <v>0</v>
      </c>
      <c r="BE505" s="93">
        <v>0</v>
      </c>
      <c r="BF505" s="93">
        <f>O505</f>
        <v>5.0545021599999993</v>
      </c>
      <c r="BH505" s="93">
        <f>G505*AO505</f>
        <v>0</v>
      </c>
      <c r="BI505" s="93">
        <f>G505*AP505</f>
        <v>0</v>
      </c>
      <c r="BJ505" s="93">
        <f>G505*H505</f>
        <v>0</v>
      </c>
      <c r="BK505" s="93"/>
      <c r="BL505" s="93">
        <v>41</v>
      </c>
      <c r="BW505" s="93" t="str">
        <f>I505</f>
        <v>21</v>
      </c>
      <c r="BX505" s="2" t="s">
        <v>642</v>
      </c>
    </row>
    <row r="506" spans="1:76" s="81" customFormat="1" x14ac:dyDescent="0.25">
      <c r="A506" s="110"/>
      <c r="B506" s="95"/>
      <c r="C506" s="95"/>
      <c r="D506" s="76" t="s">
        <v>54</v>
      </c>
      <c r="E506" s="76" t="s">
        <v>607</v>
      </c>
      <c r="F506" s="95"/>
      <c r="G506" s="96">
        <v>0</v>
      </c>
      <c r="H506" s="97"/>
      <c r="I506" s="95"/>
      <c r="J506" s="95"/>
      <c r="K506" s="95"/>
      <c r="L506" s="95"/>
      <c r="M506" s="95"/>
      <c r="N506" s="95"/>
      <c r="O506" s="95"/>
      <c r="P506" s="95"/>
    </row>
    <row r="507" spans="1:76" s="81" customFormat="1" x14ac:dyDescent="0.25">
      <c r="A507" s="110"/>
      <c r="B507" s="95"/>
      <c r="C507" s="95"/>
      <c r="D507" s="76" t="s">
        <v>643</v>
      </c>
      <c r="E507" s="76" t="s">
        <v>54</v>
      </c>
      <c r="F507" s="95"/>
      <c r="G507" s="96">
        <v>2.8170000000000002</v>
      </c>
      <c r="H507" s="97"/>
      <c r="I507" s="95"/>
      <c r="J507" s="95"/>
      <c r="K507" s="95"/>
      <c r="L507" s="95"/>
      <c r="M507" s="95"/>
      <c r="N507" s="95"/>
      <c r="O507" s="95"/>
      <c r="P507" s="95"/>
    </row>
    <row r="508" spans="1:76" s="81" customFormat="1" x14ac:dyDescent="0.25">
      <c r="A508" s="110"/>
      <c r="B508" s="95"/>
      <c r="C508" s="95"/>
      <c r="D508" s="76" t="s">
        <v>54</v>
      </c>
      <c r="E508" s="76" t="s">
        <v>609</v>
      </c>
      <c r="F508" s="95"/>
      <c r="G508" s="96">
        <v>0</v>
      </c>
      <c r="H508" s="97"/>
      <c r="I508" s="95"/>
      <c r="J508" s="95"/>
      <c r="K508" s="95"/>
      <c r="L508" s="95"/>
      <c r="M508" s="95"/>
      <c r="N508" s="95"/>
      <c r="O508" s="95"/>
      <c r="P508" s="95"/>
    </row>
    <row r="509" spans="1:76" s="81" customFormat="1" x14ac:dyDescent="0.25">
      <c r="A509" s="110"/>
      <c r="B509" s="95"/>
      <c r="C509" s="95"/>
      <c r="D509" s="76" t="s">
        <v>644</v>
      </c>
      <c r="E509" s="76" t="s">
        <v>54</v>
      </c>
      <c r="F509" s="95"/>
      <c r="G509" s="96">
        <v>1.972</v>
      </c>
      <c r="H509" s="97"/>
      <c r="I509" s="95"/>
      <c r="J509" s="95"/>
      <c r="K509" s="95"/>
      <c r="L509" s="95"/>
      <c r="M509" s="95"/>
      <c r="N509" s="95"/>
      <c r="O509" s="95"/>
      <c r="P509" s="95"/>
    </row>
    <row r="510" spans="1:76" s="81" customFormat="1" x14ac:dyDescent="0.25">
      <c r="A510" s="66" t="s">
        <v>645</v>
      </c>
      <c r="B510" s="72" t="s">
        <v>55</v>
      </c>
      <c r="C510" s="72" t="s">
        <v>646</v>
      </c>
      <c r="D510" s="174" t="s">
        <v>647</v>
      </c>
      <c r="E510" s="174"/>
      <c r="F510" s="72" t="s">
        <v>222</v>
      </c>
      <c r="G510" s="90">
        <v>33.89</v>
      </c>
      <c r="H510" s="91"/>
      <c r="I510" s="92" t="s">
        <v>63</v>
      </c>
      <c r="J510" s="90">
        <f>G510*AO510</f>
        <v>0</v>
      </c>
      <c r="K510" s="90">
        <f>G510*AP510</f>
        <v>0</v>
      </c>
      <c r="L510" s="90">
        <f>G510*H510</f>
        <v>0</v>
      </c>
      <c r="M510" s="90">
        <f>L510*(1+BW510/100)</f>
        <v>0</v>
      </c>
      <c r="N510" s="90">
        <v>1.02139</v>
      </c>
      <c r="O510" s="90">
        <f>G510*N510</f>
        <v>34.614907100000003</v>
      </c>
      <c r="P510" s="92" t="s">
        <v>64</v>
      </c>
      <c r="Z510" s="93">
        <f>IF(AQ510="5",BJ510,0)</f>
        <v>0</v>
      </c>
      <c r="AB510" s="93">
        <f>IF(AQ510="1",BH510,0)</f>
        <v>0</v>
      </c>
      <c r="AC510" s="93">
        <f>IF(AQ510="1",BI510,0)</f>
        <v>0</v>
      </c>
      <c r="AD510" s="93">
        <f>IF(AQ510="7",BH510,0)</f>
        <v>0</v>
      </c>
      <c r="AE510" s="93">
        <f>IF(AQ510="7",BI510,0)</f>
        <v>0</v>
      </c>
      <c r="AF510" s="93">
        <f>IF(AQ510="2",BH510,0)</f>
        <v>0</v>
      </c>
      <c r="AG510" s="93">
        <f>IF(AQ510="2",BI510,0)</f>
        <v>0</v>
      </c>
      <c r="AH510" s="93">
        <f>IF(AQ510="0",BJ510,0)</f>
        <v>0</v>
      </c>
      <c r="AI510" s="88" t="s">
        <v>55</v>
      </c>
      <c r="AJ510" s="93">
        <f>IF(AN510=0,L510,0)</f>
        <v>0</v>
      </c>
      <c r="AK510" s="93">
        <f>IF(AN510=12,L510,0)</f>
        <v>0</v>
      </c>
      <c r="AL510" s="93">
        <f>IF(AN510=21,L510,0)</f>
        <v>0</v>
      </c>
      <c r="AN510" s="93">
        <v>21</v>
      </c>
      <c r="AO510" s="93">
        <f>H510*0.735371271</f>
        <v>0</v>
      </c>
      <c r="AP510" s="93">
        <f>H510*(1-0.735371271)</f>
        <v>0</v>
      </c>
      <c r="AQ510" s="94" t="s">
        <v>59</v>
      </c>
      <c r="AV510" s="93">
        <f>AW510+AX510</f>
        <v>0</v>
      </c>
      <c r="AW510" s="93">
        <f>G510*AO510</f>
        <v>0</v>
      </c>
      <c r="AX510" s="93">
        <f>G510*AP510</f>
        <v>0</v>
      </c>
      <c r="AY510" s="94" t="s">
        <v>604</v>
      </c>
      <c r="AZ510" s="94" t="s">
        <v>605</v>
      </c>
      <c r="BA510" s="88" t="s">
        <v>67</v>
      </c>
      <c r="BC510" s="93">
        <f>AW510+AX510</f>
        <v>0</v>
      </c>
      <c r="BD510" s="93">
        <f>H510/(100-BE510)*100</f>
        <v>0</v>
      </c>
      <c r="BE510" s="93">
        <v>0</v>
      </c>
      <c r="BF510" s="93">
        <f>O510</f>
        <v>34.614907100000003</v>
      </c>
      <c r="BH510" s="93">
        <f>G510*AO510</f>
        <v>0</v>
      </c>
      <c r="BI510" s="93">
        <f>G510*AP510</f>
        <v>0</v>
      </c>
      <c r="BJ510" s="93">
        <f>G510*H510</f>
        <v>0</v>
      </c>
      <c r="BK510" s="93"/>
      <c r="BL510" s="93">
        <v>41</v>
      </c>
      <c r="BW510" s="93" t="str">
        <f>I510</f>
        <v>21</v>
      </c>
      <c r="BX510" s="2" t="s">
        <v>647</v>
      </c>
    </row>
    <row r="511" spans="1:76" s="81" customFormat="1" x14ac:dyDescent="0.25">
      <c r="A511" s="110"/>
      <c r="B511" s="95"/>
      <c r="C511" s="95"/>
      <c r="D511" s="76" t="s">
        <v>54</v>
      </c>
      <c r="E511" s="76" t="s">
        <v>607</v>
      </c>
      <c r="F511" s="95"/>
      <c r="G511" s="96">
        <v>0</v>
      </c>
      <c r="H511" s="97"/>
      <c r="I511" s="95"/>
      <c r="J511" s="95"/>
      <c r="K511" s="95"/>
      <c r="L511" s="95"/>
      <c r="M511" s="95"/>
      <c r="N511" s="95"/>
      <c r="O511" s="95"/>
      <c r="P511" s="95"/>
    </row>
    <row r="512" spans="1:76" s="81" customFormat="1" x14ac:dyDescent="0.25">
      <c r="A512" s="110"/>
      <c r="B512" s="95"/>
      <c r="C512" s="95"/>
      <c r="D512" s="76" t="s">
        <v>648</v>
      </c>
      <c r="E512" s="76" t="s">
        <v>54</v>
      </c>
      <c r="F512" s="95"/>
      <c r="G512" s="96">
        <v>17.82</v>
      </c>
      <c r="H512" s="97"/>
      <c r="I512" s="95"/>
      <c r="J512" s="95"/>
      <c r="K512" s="95"/>
      <c r="L512" s="95"/>
      <c r="M512" s="95"/>
      <c r="N512" s="95"/>
      <c r="O512" s="95"/>
      <c r="P512" s="95"/>
    </row>
    <row r="513" spans="1:76" s="81" customFormat="1" x14ac:dyDescent="0.25">
      <c r="A513" s="110"/>
      <c r="B513" s="95"/>
      <c r="C513" s="95"/>
      <c r="D513" s="76" t="s">
        <v>54</v>
      </c>
      <c r="E513" s="76" t="s">
        <v>609</v>
      </c>
      <c r="F513" s="95"/>
      <c r="G513" s="96">
        <v>0</v>
      </c>
      <c r="H513" s="97"/>
      <c r="I513" s="95"/>
      <c r="J513" s="95"/>
      <c r="K513" s="95"/>
      <c r="L513" s="95"/>
      <c r="M513" s="95"/>
      <c r="N513" s="95"/>
      <c r="O513" s="95"/>
      <c r="P513" s="95"/>
    </row>
    <row r="514" spans="1:76" s="81" customFormat="1" x14ac:dyDescent="0.25">
      <c r="A514" s="110"/>
      <c r="B514" s="95"/>
      <c r="C514" s="95"/>
      <c r="D514" s="76" t="s">
        <v>649</v>
      </c>
      <c r="E514" s="76" t="s">
        <v>54</v>
      </c>
      <c r="F514" s="95"/>
      <c r="G514" s="96">
        <v>16.07</v>
      </c>
      <c r="H514" s="97"/>
      <c r="I514" s="95"/>
      <c r="J514" s="95"/>
      <c r="K514" s="95"/>
      <c r="L514" s="95"/>
      <c r="M514" s="95"/>
      <c r="N514" s="95"/>
      <c r="O514" s="95"/>
      <c r="P514" s="95"/>
    </row>
    <row r="515" spans="1:76" s="81" customFormat="1" x14ac:dyDescent="0.25">
      <c r="A515" s="66" t="s">
        <v>650</v>
      </c>
      <c r="B515" s="72" t="s">
        <v>55</v>
      </c>
      <c r="C515" s="72" t="s">
        <v>651</v>
      </c>
      <c r="D515" s="174" t="s">
        <v>652</v>
      </c>
      <c r="E515" s="174"/>
      <c r="F515" s="72" t="s">
        <v>192</v>
      </c>
      <c r="G515" s="90">
        <v>682.7</v>
      </c>
      <c r="H515" s="91"/>
      <c r="I515" s="92" t="s">
        <v>63</v>
      </c>
      <c r="J515" s="90">
        <f>G515*AO515</f>
        <v>0</v>
      </c>
      <c r="K515" s="90">
        <f>G515*AP515</f>
        <v>0</v>
      </c>
      <c r="L515" s="90">
        <f>G515*H515</f>
        <v>0</v>
      </c>
      <c r="M515" s="90">
        <f>L515*(1+BW515/100)</f>
        <v>0</v>
      </c>
      <c r="N515" s="90">
        <v>1.1900000000000001E-2</v>
      </c>
      <c r="O515" s="90">
        <f>G515*N515</f>
        <v>8.124130000000001</v>
      </c>
      <c r="P515" s="92" t="s">
        <v>64</v>
      </c>
      <c r="Z515" s="93">
        <f>IF(AQ515="5",BJ515,0)</f>
        <v>0</v>
      </c>
      <c r="AB515" s="93">
        <f>IF(AQ515="1",BH515,0)</f>
        <v>0</v>
      </c>
      <c r="AC515" s="93">
        <f>IF(AQ515="1",BI515,0)</f>
        <v>0</v>
      </c>
      <c r="AD515" s="93">
        <f>IF(AQ515="7",BH515,0)</f>
        <v>0</v>
      </c>
      <c r="AE515" s="93">
        <f>IF(AQ515="7",BI515,0)</f>
        <v>0</v>
      </c>
      <c r="AF515" s="93">
        <f>IF(AQ515="2",BH515,0)</f>
        <v>0</v>
      </c>
      <c r="AG515" s="93">
        <f>IF(AQ515="2",BI515,0)</f>
        <v>0</v>
      </c>
      <c r="AH515" s="93">
        <f>IF(AQ515="0",BJ515,0)</f>
        <v>0</v>
      </c>
      <c r="AI515" s="88" t="s">
        <v>55</v>
      </c>
      <c r="AJ515" s="93">
        <f>IF(AN515=0,L515,0)</f>
        <v>0</v>
      </c>
      <c r="AK515" s="93">
        <f>IF(AN515=12,L515,0)</f>
        <v>0</v>
      </c>
      <c r="AL515" s="93">
        <f>IF(AN515=21,L515,0)</f>
        <v>0</v>
      </c>
      <c r="AN515" s="93">
        <v>21</v>
      </c>
      <c r="AO515" s="93">
        <f>H515*0.378218884</f>
        <v>0</v>
      </c>
      <c r="AP515" s="93">
        <f>H515*(1-0.378218884)</f>
        <v>0</v>
      </c>
      <c r="AQ515" s="94" t="s">
        <v>59</v>
      </c>
      <c r="AV515" s="93">
        <f>AW515+AX515</f>
        <v>0</v>
      </c>
      <c r="AW515" s="93">
        <f>G515*AO515</f>
        <v>0</v>
      </c>
      <c r="AX515" s="93">
        <f>G515*AP515</f>
        <v>0</v>
      </c>
      <c r="AY515" s="94" t="s">
        <v>604</v>
      </c>
      <c r="AZ515" s="94" t="s">
        <v>605</v>
      </c>
      <c r="BA515" s="88" t="s">
        <v>67</v>
      </c>
      <c r="BC515" s="93">
        <f>AW515+AX515</f>
        <v>0</v>
      </c>
      <c r="BD515" s="93">
        <f>H515/(100-BE515)*100</f>
        <v>0</v>
      </c>
      <c r="BE515" s="93">
        <v>0</v>
      </c>
      <c r="BF515" s="93">
        <f>O515</f>
        <v>8.124130000000001</v>
      </c>
      <c r="BH515" s="93">
        <f>G515*AO515</f>
        <v>0</v>
      </c>
      <c r="BI515" s="93">
        <f>G515*AP515</f>
        <v>0</v>
      </c>
      <c r="BJ515" s="93">
        <f>G515*H515</f>
        <v>0</v>
      </c>
      <c r="BK515" s="93"/>
      <c r="BL515" s="93">
        <v>41</v>
      </c>
      <c r="BW515" s="93" t="str">
        <f>I515</f>
        <v>21</v>
      </c>
      <c r="BX515" s="2" t="s">
        <v>652</v>
      </c>
    </row>
    <row r="516" spans="1:76" s="81" customFormat="1" x14ac:dyDescent="0.25">
      <c r="A516" s="110"/>
      <c r="B516" s="95"/>
      <c r="C516" s="95"/>
      <c r="D516" s="76" t="s">
        <v>54</v>
      </c>
      <c r="E516" s="76" t="s">
        <v>653</v>
      </c>
      <c r="F516" s="95"/>
      <c r="G516" s="96">
        <v>0</v>
      </c>
      <c r="H516" s="97"/>
      <c r="I516" s="95"/>
      <c r="J516" s="95"/>
      <c r="K516" s="95"/>
      <c r="L516" s="95"/>
      <c r="M516" s="95"/>
      <c r="N516" s="95"/>
      <c r="O516" s="95"/>
      <c r="P516" s="95"/>
    </row>
    <row r="517" spans="1:76" s="81" customFormat="1" ht="25.5" x14ac:dyDescent="0.25">
      <c r="A517" s="110"/>
      <c r="B517" s="95"/>
      <c r="C517" s="95"/>
      <c r="D517" s="76" t="s">
        <v>654</v>
      </c>
      <c r="E517" s="76" t="s">
        <v>655</v>
      </c>
      <c r="F517" s="95"/>
      <c r="G517" s="96">
        <v>455.3</v>
      </c>
      <c r="H517" s="97"/>
      <c r="I517" s="95"/>
      <c r="J517" s="95"/>
      <c r="K517" s="95"/>
      <c r="L517" s="95"/>
      <c r="M517" s="95"/>
      <c r="N517" s="95"/>
      <c r="O517" s="95"/>
      <c r="P517" s="95"/>
    </row>
    <row r="518" spans="1:76" s="81" customFormat="1" x14ac:dyDescent="0.25">
      <c r="A518" s="110"/>
      <c r="B518" s="95"/>
      <c r="C518" s="95"/>
      <c r="D518" s="76" t="s">
        <v>54</v>
      </c>
      <c r="E518" s="76" t="s">
        <v>656</v>
      </c>
      <c r="F518" s="95"/>
      <c r="G518" s="96">
        <v>0</v>
      </c>
      <c r="H518" s="97"/>
      <c r="I518" s="95"/>
      <c r="J518" s="95"/>
      <c r="K518" s="95"/>
      <c r="L518" s="95"/>
      <c r="M518" s="95"/>
      <c r="N518" s="95"/>
      <c r="O518" s="95"/>
      <c r="P518" s="95"/>
    </row>
    <row r="519" spans="1:76" s="81" customFormat="1" ht="25.5" x14ac:dyDescent="0.25">
      <c r="A519" s="110"/>
      <c r="B519" s="95"/>
      <c r="C519" s="95"/>
      <c r="D519" s="76" t="s">
        <v>657</v>
      </c>
      <c r="E519" s="76" t="s">
        <v>54</v>
      </c>
      <c r="F519" s="95"/>
      <c r="G519" s="96">
        <v>227.4</v>
      </c>
      <c r="H519" s="97"/>
      <c r="I519" s="95"/>
      <c r="J519" s="95"/>
      <c r="K519" s="95"/>
      <c r="L519" s="95"/>
      <c r="M519" s="95"/>
      <c r="N519" s="95"/>
      <c r="O519" s="95"/>
      <c r="P519" s="95"/>
    </row>
    <row r="520" spans="1:76" s="81" customFormat="1" x14ac:dyDescent="0.25">
      <c r="A520" s="66" t="s">
        <v>658</v>
      </c>
      <c r="B520" s="72" t="s">
        <v>55</v>
      </c>
      <c r="C520" s="72" t="s">
        <v>659</v>
      </c>
      <c r="D520" s="174" t="s">
        <v>660</v>
      </c>
      <c r="E520" s="174"/>
      <c r="F520" s="72" t="s">
        <v>192</v>
      </c>
      <c r="G520" s="90">
        <v>44.2</v>
      </c>
      <c r="H520" s="91"/>
      <c r="I520" s="92" t="s">
        <v>63</v>
      </c>
      <c r="J520" s="90">
        <f>G520*AO520</f>
        <v>0</v>
      </c>
      <c r="K520" s="90">
        <f>G520*AP520</f>
        <v>0</v>
      </c>
      <c r="L520" s="90">
        <f>G520*H520</f>
        <v>0</v>
      </c>
      <c r="M520" s="90">
        <f>L520*(1+BW520/100)</f>
        <v>0</v>
      </c>
      <c r="N520" s="90">
        <v>1.201E-2</v>
      </c>
      <c r="O520" s="90">
        <f>G520*N520</f>
        <v>0.53084200000000004</v>
      </c>
      <c r="P520" s="92" t="s">
        <v>64</v>
      </c>
      <c r="Z520" s="93">
        <f>IF(AQ520="5",BJ520,0)</f>
        <v>0</v>
      </c>
      <c r="AB520" s="93">
        <f>IF(AQ520="1",BH520,0)</f>
        <v>0</v>
      </c>
      <c r="AC520" s="93">
        <f>IF(AQ520="1",BI520,0)</f>
        <v>0</v>
      </c>
      <c r="AD520" s="93">
        <f>IF(AQ520="7",BH520,0)</f>
        <v>0</v>
      </c>
      <c r="AE520" s="93">
        <f>IF(AQ520="7",BI520,0)</f>
        <v>0</v>
      </c>
      <c r="AF520" s="93">
        <f>IF(AQ520="2",BH520,0)</f>
        <v>0</v>
      </c>
      <c r="AG520" s="93">
        <f>IF(AQ520="2",BI520,0)</f>
        <v>0</v>
      </c>
      <c r="AH520" s="93">
        <f>IF(AQ520="0",BJ520,0)</f>
        <v>0</v>
      </c>
      <c r="AI520" s="88" t="s">
        <v>55</v>
      </c>
      <c r="AJ520" s="93">
        <f>IF(AN520=0,L520,0)</f>
        <v>0</v>
      </c>
      <c r="AK520" s="93">
        <f>IF(AN520=12,L520,0)</f>
        <v>0</v>
      </c>
      <c r="AL520" s="93">
        <f>IF(AN520=21,L520,0)</f>
        <v>0</v>
      </c>
      <c r="AN520" s="93">
        <v>21</v>
      </c>
      <c r="AO520" s="93">
        <f>H520*0.4222333</f>
        <v>0</v>
      </c>
      <c r="AP520" s="93">
        <f>H520*(1-0.4222333)</f>
        <v>0</v>
      </c>
      <c r="AQ520" s="94" t="s">
        <v>59</v>
      </c>
      <c r="AV520" s="93">
        <f>AW520+AX520</f>
        <v>0</v>
      </c>
      <c r="AW520" s="93">
        <f>G520*AO520</f>
        <v>0</v>
      </c>
      <c r="AX520" s="93">
        <f>G520*AP520</f>
        <v>0</v>
      </c>
      <c r="AY520" s="94" t="s">
        <v>604</v>
      </c>
      <c r="AZ520" s="94" t="s">
        <v>605</v>
      </c>
      <c r="BA520" s="88" t="s">
        <v>67</v>
      </c>
      <c r="BC520" s="93">
        <f>AW520+AX520</f>
        <v>0</v>
      </c>
      <c r="BD520" s="93">
        <f>H520/(100-BE520)*100</f>
        <v>0</v>
      </c>
      <c r="BE520" s="93">
        <v>0</v>
      </c>
      <c r="BF520" s="93">
        <f>O520</f>
        <v>0.53084200000000004</v>
      </c>
      <c r="BH520" s="93">
        <f>G520*AO520</f>
        <v>0</v>
      </c>
      <c r="BI520" s="93">
        <f>G520*AP520</f>
        <v>0</v>
      </c>
      <c r="BJ520" s="93">
        <f>G520*H520</f>
        <v>0</v>
      </c>
      <c r="BK520" s="93"/>
      <c r="BL520" s="93">
        <v>41</v>
      </c>
      <c r="BW520" s="93" t="str">
        <f>I520</f>
        <v>21</v>
      </c>
      <c r="BX520" s="2" t="s">
        <v>660</v>
      </c>
    </row>
    <row r="521" spans="1:76" s="81" customFormat="1" x14ac:dyDescent="0.25">
      <c r="A521" s="110"/>
      <c r="B521" s="95"/>
      <c r="C521" s="95"/>
      <c r="D521" s="76" t="s">
        <v>54</v>
      </c>
      <c r="E521" s="76" t="s">
        <v>653</v>
      </c>
      <c r="F521" s="95"/>
      <c r="G521" s="96">
        <v>0</v>
      </c>
      <c r="H521" s="97"/>
      <c r="I521" s="95"/>
      <c r="J521" s="95"/>
      <c r="K521" s="95"/>
      <c r="L521" s="95"/>
      <c r="M521" s="95"/>
      <c r="N521" s="95"/>
      <c r="O521" s="95"/>
      <c r="P521" s="95"/>
    </row>
    <row r="522" spans="1:76" s="81" customFormat="1" x14ac:dyDescent="0.25">
      <c r="A522" s="110"/>
      <c r="B522" s="95"/>
      <c r="C522" s="95"/>
      <c r="D522" s="76" t="s">
        <v>661</v>
      </c>
      <c r="E522" s="76" t="s">
        <v>662</v>
      </c>
      <c r="F522" s="95"/>
      <c r="G522" s="96">
        <v>21</v>
      </c>
      <c r="H522" s="97"/>
      <c r="I522" s="95"/>
      <c r="J522" s="95"/>
      <c r="K522" s="95"/>
      <c r="L522" s="95"/>
      <c r="M522" s="95"/>
      <c r="N522" s="95"/>
      <c r="O522" s="95"/>
      <c r="P522" s="95"/>
    </row>
    <row r="523" spans="1:76" s="81" customFormat="1" x14ac:dyDescent="0.25">
      <c r="A523" s="110"/>
      <c r="B523" s="95"/>
      <c r="C523" s="95"/>
      <c r="D523" s="76" t="s">
        <v>54</v>
      </c>
      <c r="E523" s="76" t="s">
        <v>656</v>
      </c>
      <c r="F523" s="95"/>
      <c r="G523" s="96">
        <v>0</v>
      </c>
      <c r="H523" s="97"/>
      <c r="I523" s="95"/>
      <c r="J523" s="95"/>
      <c r="K523" s="95"/>
      <c r="L523" s="95"/>
      <c r="M523" s="95"/>
      <c r="N523" s="95"/>
      <c r="O523" s="95"/>
      <c r="P523" s="95"/>
    </row>
    <row r="524" spans="1:76" s="81" customFormat="1" x14ac:dyDescent="0.25">
      <c r="A524" s="110"/>
      <c r="B524" s="95"/>
      <c r="C524" s="95"/>
      <c r="D524" s="76" t="s">
        <v>663</v>
      </c>
      <c r="E524" s="76" t="s">
        <v>664</v>
      </c>
      <c r="F524" s="95"/>
      <c r="G524" s="96">
        <v>23.2</v>
      </c>
      <c r="H524" s="97"/>
      <c r="I524" s="95"/>
      <c r="J524" s="95"/>
      <c r="K524" s="95"/>
      <c r="L524" s="95"/>
      <c r="M524" s="95"/>
      <c r="N524" s="95"/>
      <c r="O524" s="95"/>
      <c r="P524" s="95"/>
    </row>
    <row r="525" spans="1:76" s="81" customFormat="1" ht="25.5" x14ac:dyDescent="0.25">
      <c r="A525" s="66" t="s">
        <v>665</v>
      </c>
      <c r="B525" s="72" t="s">
        <v>55</v>
      </c>
      <c r="C525" s="72" t="s">
        <v>666</v>
      </c>
      <c r="D525" s="174" t="s">
        <v>667</v>
      </c>
      <c r="E525" s="174"/>
      <c r="F525" s="72" t="s">
        <v>203</v>
      </c>
      <c r="G525" s="90">
        <v>15</v>
      </c>
      <c r="H525" s="91"/>
      <c r="I525" s="92" t="s">
        <v>63</v>
      </c>
      <c r="J525" s="90">
        <f>G525*AO525</f>
        <v>0</v>
      </c>
      <c r="K525" s="90">
        <f>G525*AP525</f>
        <v>0</v>
      </c>
      <c r="L525" s="90">
        <f>G525*H525</f>
        <v>0</v>
      </c>
      <c r="M525" s="90">
        <f>L525*(1+BW525/100)</f>
        <v>0</v>
      </c>
      <c r="N525" s="90">
        <v>1.702E-2</v>
      </c>
      <c r="O525" s="90">
        <f>G525*N525</f>
        <v>0.25530000000000003</v>
      </c>
      <c r="P525" s="92" t="s">
        <v>668</v>
      </c>
      <c r="Z525" s="93">
        <f>IF(AQ525="5",BJ525,0)</f>
        <v>0</v>
      </c>
      <c r="AB525" s="93">
        <f>IF(AQ525="1",BH525,0)</f>
        <v>0</v>
      </c>
      <c r="AC525" s="93">
        <f>IF(AQ525="1",BI525,0)</f>
        <v>0</v>
      </c>
      <c r="AD525" s="93">
        <f>IF(AQ525="7",BH525,0)</f>
        <v>0</v>
      </c>
      <c r="AE525" s="93">
        <f>IF(AQ525="7",BI525,0)</f>
        <v>0</v>
      </c>
      <c r="AF525" s="93">
        <f>IF(AQ525="2",BH525,0)</f>
        <v>0</v>
      </c>
      <c r="AG525" s="93">
        <f>IF(AQ525="2",BI525,0)</f>
        <v>0</v>
      </c>
      <c r="AH525" s="93">
        <f>IF(AQ525="0",BJ525,0)</f>
        <v>0</v>
      </c>
      <c r="AI525" s="88" t="s">
        <v>55</v>
      </c>
      <c r="AJ525" s="93">
        <f>IF(AN525=0,L525,0)</f>
        <v>0</v>
      </c>
      <c r="AK525" s="93">
        <f>IF(AN525=12,L525,0)</f>
        <v>0</v>
      </c>
      <c r="AL525" s="93">
        <f>IF(AN525=21,L525,0)</f>
        <v>0</v>
      </c>
      <c r="AN525" s="93">
        <v>21</v>
      </c>
      <c r="AO525" s="93">
        <f>H525*0.978659557</f>
        <v>0</v>
      </c>
      <c r="AP525" s="93">
        <f>H525*(1-0.978659557)</f>
        <v>0</v>
      </c>
      <c r="AQ525" s="94" t="s">
        <v>59</v>
      </c>
      <c r="AV525" s="93">
        <f>AW525+AX525</f>
        <v>0</v>
      </c>
      <c r="AW525" s="93">
        <f>G525*AO525</f>
        <v>0</v>
      </c>
      <c r="AX525" s="93">
        <f>G525*AP525</f>
        <v>0</v>
      </c>
      <c r="AY525" s="94" t="s">
        <v>604</v>
      </c>
      <c r="AZ525" s="94" t="s">
        <v>605</v>
      </c>
      <c r="BA525" s="88" t="s">
        <v>67</v>
      </c>
      <c r="BC525" s="93">
        <f>AW525+AX525</f>
        <v>0</v>
      </c>
      <c r="BD525" s="93">
        <f>H525/(100-BE525)*100</f>
        <v>0</v>
      </c>
      <c r="BE525" s="93">
        <v>0</v>
      </c>
      <c r="BF525" s="93">
        <f>O525</f>
        <v>0.25530000000000003</v>
      </c>
      <c r="BH525" s="93">
        <f>G525*AO525</f>
        <v>0</v>
      </c>
      <c r="BI525" s="93">
        <f>G525*AP525</f>
        <v>0</v>
      </c>
      <c r="BJ525" s="93">
        <f>G525*H525</f>
        <v>0</v>
      </c>
      <c r="BK525" s="93"/>
      <c r="BL525" s="93">
        <v>41</v>
      </c>
      <c r="BW525" s="93" t="str">
        <f>I525</f>
        <v>21</v>
      </c>
      <c r="BX525" s="2" t="s">
        <v>667</v>
      </c>
    </row>
    <row r="526" spans="1:76" s="81" customFormat="1" x14ac:dyDescent="0.25">
      <c r="A526" s="66" t="s">
        <v>669</v>
      </c>
      <c r="B526" s="72" t="s">
        <v>55</v>
      </c>
      <c r="C526" s="72" t="s">
        <v>670</v>
      </c>
      <c r="D526" s="174" t="s">
        <v>671</v>
      </c>
      <c r="E526" s="174"/>
      <c r="F526" s="72" t="s">
        <v>203</v>
      </c>
      <c r="G526" s="90">
        <v>24</v>
      </c>
      <c r="H526" s="91"/>
      <c r="I526" s="92" t="s">
        <v>63</v>
      </c>
      <c r="J526" s="90">
        <f>G526*AO526</f>
        <v>0</v>
      </c>
      <c r="K526" s="90">
        <f>G526*AP526</f>
        <v>0</v>
      </c>
      <c r="L526" s="90">
        <f>G526*H526</f>
        <v>0</v>
      </c>
      <c r="M526" s="90">
        <f>L526*(1+BW526/100)</f>
        <v>0</v>
      </c>
      <c r="N526" s="90">
        <v>1.702E-2</v>
      </c>
      <c r="O526" s="90">
        <f>G526*N526</f>
        <v>0.40848000000000001</v>
      </c>
      <c r="P526" s="92" t="s">
        <v>668</v>
      </c>
      <c r="Z526" s="93">
        <f>IF(AQ526="5",BJ526,0)</f>
        <v>0</v>
      </c>
      <c r="AB526" s="93">
        <f>IF(AQ526="1",BH526,0)</f>
        <v>0</v>
      </c>
      <c r="AC526" s="93">
        <f>IF(AQ526="1",BI526,0)</f>
        <v>0</v>
      </c>
      <c r="AD526" s="93">
        <f>IF(AQ526="7",BH526,0)</f>
        <v>0</v>
      </c>
      <c r="AE526" s="93">
        <f>IF(AQ526="7",BI526,0)</f>
        <v>0</v>
      </c>
      <c r="AF526" s="93">
        <f>IF(AQ526="2",BH526,0)</f>
        <v>0</v>
      </c>
      <c r="AG526" s="93">
        <f>IF(AQ526="2",BI526,0)</f>
        <v>0</v>
      </c>
      <c r="AH526" s="93">
        <f>IF(AQ526="0",BJ526,0)</f>
        <v>0</v>
      </c>
      <c r="AI526" s="88" t="s">
        <v>55</v>
      </c>
      <c r="AJ526" s="93">
        <f>IF(AN526=0,L526,0)</f>
        <v>0</v>
      </c>
      <c r="AK526" s="93">
        <f>IF(AN526=12,L526,0)</f>
        <v>0</v>
      </c>
      <c r="AL526" s="93">
        <f>IF(AN526=21,L526,0)</f>
        <v>0</v>
      </c>
      <c r="AN526" s="93">
        <v>21</v>
      </c>
      <c r="AO526" s="93">
        <f>H526*0.970071705</f>
        <v>0</v>
      </c>
      <c r="AP526" s="93">
        <f>H526*(1-0.970071705)</f>
        <v>0</v>
      </c>
      <c r="AQ526" s="94" t="s">
        <v>59</v>
      </c>
      <c r="AV526" s="93">
        <f>AW526+AX526</f>
        <v>0</v>
      </c>
      <c r="AW526" s="93">
        <f>G526*AO526</f>
        <v>0</v>
      </c>
      <c r="AX526" s="93">
        <f>G526*AP526</f>
        <v>0</v>
      </c>
      <c r="AY526" s="94" t="s">
        <v>604</v>
      </c>
      <c r="AZ526" s="94" t="s">
        <v>605</v>
      </c>
      <c r="BA526" s="88" t="s">
        <v>67</v>
      </c>
      <c r="BC526" s="93">
        <f>AW526+AX526</f>
        <v>0</v>
      </c>
      <c r="BD526" s="93">
        <f>H526/(100-BE526)*100</f>
        <v>0</v>
      </c>
      <c r="BE526" s="93">
        <v>0</v>
      </c>
      <c r="BF526" s="93">
        <f>O526</f>
        <v>0.40848000000000001</v>
      </c>
      <c r="BH526" s="93">
        <f>G526*AO526</f>
        <v>0</v>
      </c>
      <c r="BI526" s="93">
        <f>G526*AP526</f>
        <v>0</v>
      </c>
      <c r="BJ526" s="93">
        <f>G526*H526</f>
        <v>0</v>
      </c>
      <c r="BK526" s="93"/>
      <c r="BL526" s="93">
        <v>41</v>
      </c>
      <c r="BW526" s="93" t="str">
        <f>I526</f>
        <v>21</v>
      </c>
      <c r="BX526" s="2" t="s">
        <v>671</v>
      </c>
    </row>
    <row r="527" spans="1:76" s="81" customFormat="1" ht="25.5" x14ac:dyDescent="0.25">
      <c r="A527" s="66" t="s">
        <v>672</v>
      </c>
      <c r="B527" s="72" t="s">
        <v>55</v>
      </c>
      <c r="C527" s="72" t="s">
        <v>666</v>
      </c>
      <c r="D527" s="174" t="s">
        <v>673</v>
      </c>
      <c r="E527" s="174"/>
      <c r="F527" s="72" t="s">
        <v>203</v>
      </c>
      <c r="G527" s="90">
        <v>8</v>
      </c>
      <c r="H527" s="91"/>
      <c r="I527" s="92" t="s">
        <v>63</v>
      </c>
      <c r="J527" s="90">
        <f>G527*AO527</f>
        <v>0</v>
      </c>
      <c r="K527" s="90">
        <f>G527*AP527</f>
        <v>0</v>
      </c>
      <c r="L527" s="90">
        <f>G527*H527</f>
        <v>0</v>
      </c>
      <c r="M527" s="90">
        <f>L527*(1+BW527/100)</f>
        <v>0</v>
      </c>
      <c r="N527" s="90">
        <v>1.702E-2</v>
      </c>
      <c r="O527" s="90">
        <f>G527*N527</f>
        <v>0.13616</v>
      </c>
      <c r="P527" s="92" t="s">
        <v>668</v>
      </c>
      <c r="Z527" s="93">
        <f>IF(AQ527="5",BJ527,0)</f>
        <v>0</v>
      </c>
      <c r="AB527" s="93">
        <f>IF(AQ527="1",BH527,0)</f>
        <v>0</v>
      </c>
      <c r="AC527" s="93">
        <f>IF(AQ527="1",BI527,0)</f>
        <v>0</v>
      </c>
      <c r="AD527" s="93">
        <f>IF(AQ527="7",BH527,0)</f>
        <v>0</v>
      </c>
      <c r="AE527" s="93">
        <f>IF(AQ527="7",BI527,0)</f>
        <v>0</v>
      </c>
      <c r="AF527" s="93">
        <f>IF(AQ527="2",BH527,0)</f>
        <v>0</v>
      </c>
      <c r="AG527" s="93">
        <f>IF(AQ527="2",BI527,0)</f>
        <v>0</v>
      </c>
      <c r="AH527" s="93">
        <f>IF(AQ527="0",BJ527,0)</f>
        <v>0</v>
      </c>
      <c r="AI527" s="88" t="s">
        <v>55</v>
      </c>
      <c r="AJ527" s="93">
        <f>IF(AN527=0,L527,0)</f>
        <v>0</v>
      </c>
      <c r="AK527" s="93">
        <f>IF(AN527=12,L527,0)</f>
        <v>0</v>
      </c>
      <c r="AL527" s="93">
        <f>IF(AN527=21,L527,0)</f>
        <v>0</v>
      </c>
      <c r="AN527" s="93">
        <v>21</v>
      </c>
      <c r="AO527" s="93">
        <f>H527*0.976653278</f>
        <v>0</v>
      </c>
      <c r="AP527" s="93">
        <f>H527*(1-0.976653278)</f>
        <v>0</v>
      </c>
      <c r="AQ527" s="94" t="s">
        <v>59</v>
      </c>
      <c r="AV527" s="93">
        <f>AW527+AX527</f>
        <v>0</v>
      </c>
      <c r="AW527" s="93">
        <f>G527*AO527</f>
        <v>0</v>
      </c>
      <c r="AX527" s="93">
        <f>G527*AP527</f>
        <v>0</v>
      </c>
      <c r="AY527" s="94" t="s">
        <v>604</v>
      </c>
      <c r="AZ527" s="94" t="s">
        <v>605</v>
      </c>
      <c r="BA527" s="88" t="s">
        <v>67</v>
      </c>
      <c r="BC527" s="93">
        <f>AW527+AX527</f>
        <v>0</v>
      </c>
      <c r="BD527" s="93">
        <f>H527/(100-BE527)*100</f>
        <v>0</v>
      </c>
      <c r="BE527" s="93">
        <v>0</v>
      </c>
      <c r="BF527" s="93">
        <f>O527</f>
        <v>0.13616</v>
      </c>
      <c r="BH527" s="93">
        <f>G527*AO527</f>
        <v>0</v>
      </c>
      <c r="BI527" s="93">
        <f>G527*AP527</f>
        <v>0</v>
      </c>
      <c r="BJ527" s="93">
        <f>G527*H527</f>
        <v>0</v>
      </c>
      <c r="BK527" s="93"/>
      <c r="BL527" s="93">
        <v>41</v>
      </c>
      <c r="BW527" s="93" t="str">
        <f>I527</f>
        <v>21</v>
      </c>
      <c r="BX527" s="2" t="s">
        <v>673</v>
      </c>
    </row>
    <row r="528" spans="1:76" s="81" customFormat="1" x14ac:dyDescent="0.25">
      <c r="A528" s="66" t="s">
        <v>674</v>
      </c>
      <c r="B528" s="72" t="s">
        <v>55</v>
      </c>
      <c r="C528" s="72" t="s">
        <v>675</v>
      </c>
      <c r="D528" s="174" t="s">
        <v>676</v>
      </c>
      <c r="E528" s="174"/>
      <c r="F528" s="72" t="s">
        <v>192</v>
      </c>
      <c r="G528" s="90">
        <v>72.572950000000006</v>
      </c>
      <c r="H528" s="91"/>
      <c r="I528" s="92" t="s">
        <v>63</v>
      </c>
      <c r="J528" s="90">
        <f>G528*AO528</f>
        <v>0</v>
      </c>
      <c r="K528" s="90">
        <f>G528*AP528</f>
        <v>0</v>
      </c>
      <c r="L528" s="90">
        <f>G528*H528</f>
        <v>0</v>
      </c>
      <c r="M528" s="90">
        <f>L528*(1+BW528/100)</f>
        <v>0</v>
      </c>
      <c r="N528" s="90">
        <v>0.33226</v>
      </c>
      <c r="O528" s="90">
        <f>G528*N528</f>
        <v>24.113088367000003</v>
      </c>
      <c r="P528" s="92" t="s">
        <v>64</v>
      </c>
      <c r="Z528" s="93">
        <f>IF(AQ528="5",BJ528,0)</f>
        <v>0</v>
      </c>
      <c r="AB528" s="93">
        <f>IF(AQ528="1",BH528,0)</f>
        <v>0</v>
      </c>
      <c r="AC528" s="93">
        <f>IF(AQ528="1",BI528,0)</f>
        <v>0</v>
      </c>
      <c r="AD528" s="93">
        <f>IF(AQ528="7",BH528,0)</f>
        <v>0</v>
      </c>
      <c r="AE528" s="93">
        <f>IF(AQ528="7",BI528,0)</f>
        <v>0</v>
      </c>
      <c r="AF528" s="93">
        <f>IF(AQ528="2",BH528,0)</f>
        <v>0</v>
      </c>
      <c r="AG528" s="93">
        <f>IF(AQ528="2",BI528,0)</f>
        <v>0</v>
      </c>
      <c r="AH528" s="93">
        <f>IF(AQ528="0",BJ528,0)</f>
        <v>0</v>
      </c>
      <c r="AI528" s="88" t="s">
        <v>55</v>
      </c>
      <c r="AJ528" s="93">
        <f>IF(AN528=0,L528,0)</f>
        <v>0</v>
      </c>
      <c r="AK528" s="93">
        <f>IF(AN528=12,L528,0)</f>
        <v>0</v>
      </c>
      <c r="AL528" s="93">
        <f>IF(AN528=21,L528,0)</f>
        <v>0</v>
      </c>
      <c r="AN528" s="93">
        <v>21</v>
      </c>
      <c r="AO528" s="93">
        <f>H528*0.742163333</f>
        <v>0</v>
      </c>
      <c r="AP528" s="93">
        <f>H528*(1-0.742163333)</f>
        <v>0</v>
      </c>
      <c r="AQ528" s="94" t="s">
        <v>59</v>
      </c>
      <c r="AV528" s="93">
        <f>AW528+AX528</f>
        <v>0</v>
      </c>
      <c r="AW528" s="93">
        <f>G528*AO528</f>
        <v>0</v>
      </c>
      <c r="AX528" s="93">
        <f>G528*AP528</f>
        <v>0</v>
      </c>
      <c r="AY528" s="94" t="s">
        <v>604</v>
      </c>
      <c r="AZ528" s="94" t="s">
        <v>605</v>
      </c>
      <c r="BA528" s="88" t="s">
        <v>67</v>
      </c>
      <c r="BC528" s="93">
        <f>AW528+AX528</f>
        <v>0</v>
      </c>
      <c r="BD528" s="93">
        <f>H528/(100-BE528)*100</f>
        <v>0</v>
      </c>
      <c r="BE528" s="93">
        <v>0</v>
      </c>
      <c r="BF528" s="93">
        <f>O528</f>
        <v>24.113088367000003</v>
      </c>
      <c r="BH528" s="93">
        <f>G528*AO528</f>
        <v>0</v>
      </c>
      <c r="BI528" s="93">
        <f>G528*AP528</f>
        <v>0</v>
      </c>
      <c r="BJ528" s="93">
        <f>G528*H528</f>
        <v>0</v>
      </c>
      <c r="BK528" s="93"/>
      <c r="BL528" s="93">
        <v>41</v>
      </c>
      <c r="BW528" s="93" t="str">
        <f>I528</f>
        <v>21</v>
      </c>
      <c r="BX528" s="2" t="s">
        <v>676</v>
      </c>
    </row>
    <row r="529" spans="1:76" s="81" customFormat="1" ht="13.5" customHeight="1" x14ac:dyDescent="0.25">
      <c r="A529" s="110"/>
      <c r="B529" s="95"/>
      <c r="C529" s="95"/>
      <c r="D529" s="179" t="s">
        <v>677</v>
      </c>
      <c r="E529" s="179"/>
      <c r="F529" s="179"/>
      <c r="G529" s="179"/>
      <c r="H529" s="179"/>
      <c r="I529" s="179"/>
      <c r="J529" s="179"/>
      <c r="K529" s="179"/>
      <c r="L529" s="179"/>
      <c r="M529" s="179"/>
      <c r="N529" s="179"/>
      <c r="O529" s="179"/>
      <c r="P529" s="179"/>
    </row>
    <row r="530" spans="1:76" s="81" customFormat="1" x14ac:dyDescent="0.25">
      <c r="A530" s="110"/>
      <c r="B530" s="95"/>
      <c r="C530" s="95"/>
      <c r="D530" s="76" t="s">
        <v>54</v>
      </c>
      <c r="E530" s="76" t="s">
        <v>588</v>
      </c>
      <c r="F530" s="95"/>
      <c r="G530" s="96">
        <v>0</v>
      </c>
      <c r="H530" s="95"/>
      <c r="I530" s="95"/>
      <c r="J530" s="95"/>
      <c r="K530" s="95"/>
      <c r="L530" s="95"/>
      <c r="M530" s="95"/>
      <c r="N530" s="95"/>
      <c r="O530" s="95"/>
      <c r="P530" s="95"/>
    </row>
    <row r="531" spans="1:76" s="81" customFormat="1" x14ac:dyDescent="0.25">
      <c r="A531" s="110"/>
      <c r="B531" s="95"/>
      <c r="C531" s="95"/>
      <c r="D531" s="76" t="s">
        <v>678</v>
      </c>
      <c r="E531" s="76" t="s">
        <v>54</v>
      </c>
      <c r="F531" s="95"/>
      <c r="G531" s="96">
        <v>72.572950000000006</v>
      </c>
      <c r="H531" s="95"/>
      <c r="I531" s="95"/>
      <c r="J531" s="95"/>
      <c r="K531" s="95"/>
      <c r="L531" s="95"/>
      <c r="M531" s="95"/>
      <c r="N531" s="95"/>
      <c r="O531" s="95"/>
      <c r="P531" s="95"/>
    </row>
    <row r="532" spans="1:76" s="81" customFormat="1" x14ac:dyDescent="0.25">
      <c r="A532" s="66" t="s">
        <v>679</v>
      </c>
      <c r="B532" s="72" t="s">
        <v>55</v>
      </c>
      <c r="C532" s="72" t="s">
        <v>680</v>
      </c>
      <c r="D532" s="174" t="s">
        <v>681</v>
      </c>
      <c r="E532" s="174"/>
      <c r="F532" s="72" t="s">
        <v>192</v>
      </c>
      <c r="G532" s="90">
        <v>22.378229999999999</v>
      </c>
      <c r="H532" s="91"/>
      <c r="I532" s="92" t="s">
        <v>63</v>
      </c>
      <c r="J532" s="90">
        <f>G532*AO532</f>
        <v>0</v>
      </c>
      <c r="K532" s="90">
        <f>G532*AP532</f>
        <v>0</v>
      </c>
      <c r="L532" s="90">
        <f>G532*H532</f>
        <v>0</v>
      </c>
      <c r="M532" s="90">
        <f>L532*(1+BW532/100)</f>
        <v>0</v>
      </c>
      <c r="N532" s="90">
        <v>0.33289999999999997</v>
      </c>
      <c r="O532" s="90">
        <f>G532*N532</f>
        <v>7.4497127669999985</v>
      </c>
      <c r="P532" s="92" t="s">
        <v>64</v>
      </c>
      <c r="Z532" s="93">
        <f>IF(AQ532="5",BJ532,0)</f>
        <v>0</v>
      </c>
      <c r="AB532" s="93">
        <f>IF(AQ532="1",BH532,0)</f>
        <v>0</v>
      </c>
      <c r="AC532" s="93">
        <f>IF(AQ532="1",BI532,0)</f>
        <v>0</v>
      </c>
      <c r="AD532" s="93">
        <f>IF(AQ532="7",BH532,0)</f>
        <v>0</v>
      </c>
      <c r="AE532" s="93">
        <f>IF(AQ532="7",BI532,0)</f>
        <v>0</v>
      </c>
      <c r="AF532" s="93">
        <f>IF(AQ532="2",BH532,0)</f>
        <v>0</v>
      </c>
      <c r="AG532" s="93">
        <f>IF(AQ532="2",BI532,0)</f>
        <v>0</v>
      </c>
      <c r="AH532" s="93">
        <f>IF(AQ532="0",BJ532,0)</f>
        <v>0</v>
      </c>
      <c r="AI532" s="88" t="s">
        <v>55</v>
      </c>
      <c r="AJ532" s="93">
        <f>IF(AN532=0,L532,0)</f>
        <v>0</v>
      </c>
      <c r="AK532" s="93">
        <f>IF(AN532=12,L532,0)</f>
        <v>0</v>
      </c>
      <c r="AL532" s="93">
        <f>IF(AN532=21,L532,0)</f>
        <v>0</v>
      </c>
      <c r="AN532" s="93">
        <v>21</v>
      </c>
      <c r="AO532" s="93">
        <f>H532*0.762679807</f>
        <v>0</v>
      </c>
      <c r="AP532" s="93">
        <f>H532*(1-0.762679807)</f>
        <v>0</v>
      </c>
      <c r="AQ532" s="94" t="s">
        <v>59</v>
      </c>
      <c r="AV532" s="93">
        <f>AW532+AX532</f>
        <v>0</v>
      </c>
      <c r="AW532" s="93">
        <f>G532*AO532</f>
        <v>0</v>
      </c>
      <c r="AX532" s="93">
        <f>G532*AP532</f>
        <v>0</v>
      </c>
      <c r="AY532" s="94" t="s">
        <v>604</v>
      </c>
      <c r="AZ532" s="94" t="s">
        <v>605</v>
      </c>
      <c r="BA532" s="88" t="s">
        <v>67</v>
      </c>
      <c r="BC532" s="93">
        <f>AW532+AX532</f>
        <v>0</v>
      </c>
      <c r="BD532" s="93">
        <f>H532/(100-BE532)*100</f>
        <v>0</v>
      </c>
      <c r="BE532" s="93">
        <v>0</v>
      </c>
      <c r="BF532" s="93">
        <f>O532</f>
        <v>7.4497127669999985</v>
      </c>
      <c r="BH532" s="93">
        <f>G532*AO532</f>
        <v>0</v>
      </c>
      <c r="BI532" s="93">
        <f>G532*AP532</f>
        <v>0</v>
      </c>
      <c r="BJ532" s="93">
        <f>G532*H532</f>
        <v>0</v>
      </c>
      <c r="BK532" s="93"/>
      <c r="BL532" s="93">
        <v>41</v>
      </c>
      <c r="BW532" s="93" t="str">
        <f>I532</f>
        <v>21</v>
      </c>
      <c r="BX532" s="2" t="s">
        <v>681</v>
      </c>
    </row>
    <row r="533" spans="1:76" s="81" customFormat="1" ht="13.5" customHeight="1" x14ac:dyDescent="0.25">
      <c r="A533" s="110"/>
      <c r="B533" s="95"/>
      <c r="C533" s="95"/>
      <c r="D533" s="179" t="s">
        <v>677</v>
      </c>
      <c r="E533" s="179"/>
      <c r="F533" s="179"/>
      <c r="G533" s="179"/>
      <c r="H533" s="179"/>
      <c r="I533" s="179"/>
      <c r="J533" s="179"/>
      <c r="K533" s="179"/>
      <c r="L533" s="179"/>
      <c r="M533" s="179"/>
      <c r="N533" s="179"/>
      <c r="O533" s="179"/>
      <c r="P533" s="179"/>
    </row>
    <row r="534" spans="1:76" s="81" customFormat="1" x14ac:dyDescent="0.25">
      <c r="A534" s="110"/>
      <c r="B534" s="95"/>
      <c r="C534" s="95"/>
      <c r="D534" s="76" t="s">
        <v>54</v>
      </c>
      <c r="E534" s="76" t="s">
        <v>588</v>
      </c>
      <c r="F534" s="95"/>
      <c r="G534" s="96">
        <v>0</v>
      </c>
      <c r="H534" s="95"/>
      <c r="I534" s="95"/>
      <c r="J534" s="95"/>
      <c r="K534" s="95"/>
      <c r="L534" s="95"/>
      <c r="M534" s="95"/>
      <c r="N534" s="95"/>
      <c r="O534" s="95"/>
      <c r="P534" s="95"/>
    </row>
    <row r="535" spans="1:76" s="81" customFormat="1" x14ac:dyDescent="0.25">
      <c r="A535" s="110"/>
      <c r="B535" s="95"/>
      <c r="C535" s="95"/>
      <c r="D535" s="76" t="s">
        <v>682</v>
      </c>
      <c r="E535" s="76" t="s">
        <v>54</v>
      </c>
      <c r="F535" s="95"/>
      <c r="G535" s="96">
        <v>22.378229999999999</v>
      </c>
      <c r="H535" s="95"/>
      <c r="I535" s="95"/>
      <c r="J535" s="95"/>
      <c r="K535" s="95"/>
      <c r="L535" s="95"/>
      <c r="M535" s="95"/>
      <c r="N535" s="95"/>
      <c r="O535" s="95"/>
      <c r="P535" s="95"/>
    </row>
    <row r="536" spans="1:76" s="81" customFormat="1" x14ac:dyDescent="0.25">
      <c r="A536" s="66" t="s">
        <v>683</v>
      </c>
      <c r="B536" s="72" t="s">
        <v>55</v>
      </c>
      <c r="C536" s="72" t="s">
        <v>684</v>
      </c>
      <c r="D536" s="174" t="s">
        <v>685</v>
      </c>
      <c r="E536" s="174"/>
      <c r="F536" s="72" t="s">
        <v>192</v>
      </c>
      <c r="G536" s="90">
        <v>492.59300000000002</v>
      </c>
      <c r="H536" s="91"/>
      <c r="I536" s="92" t="s">
        <v>63</v>
      </c>
      <c r="J536" s="90">
        <f>G536*AO536</f>
        <v>0</v>
      </c>
      <c r="K536" s="90">
        <f>G536*AP536</f>
        <v>0</v>
      </c>
      <c r="L536" s="90">
        <f>G536*H536</f>
        <v>0</v>
      </c>
      <c r="M536" s="90">
        <f>L536*(1+BW536/100)</f>
        <v>0</v>
      </c>
      <c r="N536" s="90">
        <v>0.33349000000000001</v>
      </c>
      <c r="O536" s="90">
        <f>G536*N536</f>
        <v>164.27483957000001</v>
      </c>
      <c r="P536" s="92" t="s">
        <v>64</v>
      </c>
      <c r="Z536" s="93">
        <f>IF(AQ536="5",BJ536,0)</f>
        <v>0</v>
      </c>
      <c r="AB536" s="93">
        <f>IF(AQ536="1",BH536,0)</f>
        <v>0</v>
      </c>
      <c r="AC536" s="93">
        <f>IF(AQ536="1",BI536,0)</f>
        <v>0</v>
      </c>
      <c r="AD536" s="93">
        <f>IF(AQ536="7",BH536,0)</f>
        <v>0</v>
      </c>
      <c r="AE536" s="93">
        <f>IF(AQ536="7",BI536,0)</f>
        <v>0</v>
      </c>
      <c r="AF536" s="93">
        <f>IF(AQ536="2",BH536,0)</f>
        <v>0</v>
      </c>
      <c r="AG536" s="93">
        <f>IF(AQ536="2",BI536,0)</f>
        <v>0</v>
      </c>
      <c r="AH536" s="93">
        <f>IF(AQ536="0",BJ536,0)</f>
        <v>0</v>
      </c>
      <c r="AI536" s="88" t="s">
        <v>55</v>
      </c>
      <c r="AJ536" s="93">
        <f>IF(AN536=0,L536,0)</f>
        <v>0</v>
      </c>
      <c r="AK536" s="93">
        <f>IF(AN536=12,L536,0)</f>
        <v>0</v>
      </c>
      <c r="AL536" s="93">
        <f>IF(AN536=21,L536,0)</f>
        <v>0</v>
      </c>
      <c r="AN536" s="93">
        <v>21</v>
      </c>
      <c r="AO536" s="93">
        <f>H536*0.792366972</f>
        <v>0</v>
      </c>
      <c r="AP536" s="93">
        <f>H536*(1-0.792366972)</f>
        <v>0</v>
      </c>
      <c r="AQ536" s="94" t="s">
        <v>59</v>
      </c>
      <c r="AV536" s="93">
        <f>AW536+AX536</f>
        <v>0</v>
      </c>
      <c r="AW536" s="93">
        <f>G536*AO536</f>
        <v>0</v>
      </c>
      <c r="AX536" s="93">
        <f>G536*AP536</f>
        <v>0</v>
      </c>
      <c r="AY536" s="94" t="s">
        <v>604</v>
      </c>
      <c r="AZ536" s="94" t="s">
        <v>605</v>
      </c>
      <c r="BA536" s="88" t="s">
        <v>67</v>
      </c>
      <c r="BC536" s="93">
        <f>AW536+AX536</f>
        <v>0</v>
      </c>
      <c r="BD536" s="93">
        <f>H536/(100-BE536)*100</f>
        <v>0</v>
      </c>
      <c r="BE536" s="93">
        <v>0</v>
      </c>
      <c r="BF536" s="93">
        <f>O536</f>
        <v>164.27483957000001</v>
      </c>
      <c r="BH536" s="93">
        <f>G536*AO536</f>
        <v>0</v>
      </c>
      <c r="BI536" s="93">
        <f>G536*AP536</f>
        <v>0</v>
      </c>
      <c r="BJ536" s="93">
        <f>G536*H536</f>
        <v>0</v>
      </c>
      <c r="BK536" s="93"/>
      <c r="BL536" s="93">
        <v>41</v>
      </c>
      <c r="BW536" s="93" t="str">
        <f>I536</f>
        <v>21</v>
      </c>
      <c r="BX536" s="2" t="s">
        <v>685</v>
      </c>
    </row>
    <row r="537" spans="1:76" s="81" customFormat="1" ht="13.5" customHeight="1" x14ac:dyDescent="0.25">
      <c r="A537" s="110"/>
      <c r="B537" s="95"/>
      <c r="C537" s="95"/>
      <c r="D537" s="179" t="s">
        <v>677</v>
      </c>
      <c r="E537" s="179"/>
      <c r="F537" s="179"/>
      <c r="G537" s="179"/>
      <c r="H537" s="179"/>
      <c r="I537" s="179"/>
      <c r="J537" s="179"/>
      <c r="K537" s="179"/>
      <c r="L537" s="179"/>
      <c r="M537" s="179"/>
      <c r="N537" s="179"/>
      <c r="O537" s="179"/>
      <c r="P537" s="179"/>
    </row>
    <row r="538" spans="1:76" s="81" customFormat="1" x14ac:dyDescent="0.25">
      <c r="A538" s="110"/>
      <c r="B538" s="95"/>
      <c r="C538" s="95"/>
      <c r="D538" s="76" t="s">
        <v>54</v>
      </c>
      <c r="E538" s="76" t="s">
        <v>588</v>
      </c>
      <c r="F538" s="95"/>
      <c r="G538" s="96">
        <v>0</v>
      </c>
      <c r="H538" s="95"/>
      <c r="I538" s="95"/>
      <c r="J538" s="95"/>
      <c r="K538" s="95"/>
      <c r="L538" s="95"/>
      <c r="M538" s="95"/>
      <c r="N538" s="95"/>
      <c r="O538" s="95"/>
      <c r="P538" s="95"/>
    </row>
    <row r="539" spans="1:76" s="81" customFormat="1" x14ac:dyDescent="0.25">
      <c r="A539" s="110"/>
      <c r="B539" s="95"/>
      <c r="C539" s="95"/>
      <c r="D539" s="76" t="s">
        <v>686</v>
      </c>
      <c r="E539" s="76" t="s">
        <v>54</v>
      </c>
      <c r="F539" s="95"/>
      <c r="G539" s="96">
        <v>256.71505000000002</v>
      </c>
      <c r="H539" s="95"/>
      <c r="I539" s="95"/>
      <c r="J539" s="95"/>
      <c r="K539" s="95"/>
      <c r="L539" s="95"/>
      <c r="M539" s="95"/>
      <c r="N539" s="95"/>
      <c r="O539" s="95"/>
      <c r="P539" s="95"/>
    </row>
    <row r="540" spans="1:76" s="81" customFormat="1" x14ac:dyDescent="0.25">
      <c r="A540" s="110"/>
      <c r="B540" s="95"/>
      <c r="C540" s="95"/>
      <c r="D540" s="76" t="s">
        <v>54</v>
      </c>
      <c r="E540" s="76" t="s">
        <v>584</v>
      </c>
      <c r="F540" s="95"/>
      <c r="G540" s="96">
        <v>0</v>
      </c>
      <c r="H540" s="95"/>
      <c r="I540" s="95"/>
      <c r="J540" s="95"/>
      <c r="K540" s="95"/>
      <c r="L540" s="95"/>
      <c r="M540" s="95"/>
      <c r="N540" s="95"/>
      <c r="O540" s="95"/>
      <c r="P540" s="95"/>
    </row>
    <row r="541" spans="1:76" s="81" customFormat="1" x14ac:dyDescent="0.25">
      <c r="A541" s="110"/>
      <c r="B541" s="95"/>
      <c r="C541" s="95"/>
      <c r="D541" s="76" t="s">
        <v>687</v>
      </c>
      <c r="E541" s="76" t="s">
        <v>54</v>
      </c>
      <c r="F541" s="95"/>
      <c r="G541" s="96">
        <v>235.87795</v>
      </c>
      <c r="H541" s="95"/>
      <c r="I541" s="95"/>
      <c r="J541" s="95"/>
      <c r="K541" s="95"/>
      <c r="L541" s="95"/>
      <c r="M541" s="95"/>
      <c r="N541" s="95"/>
      <c r="O541" s="95"/>
      <c r="P541" s="95"/>
    </row>
    <row r="542" spans="1:76" s="81" customFormat="1" x14ac:dyDescent="0.25">
      <c r="A542" s="66" t="s">
        <v>688</v>
      </c>
      <c r="B542" s="72" t="s">
        <v>55</v>
      </c>
      <c r="C542" s="72" t="s">
        <v>689</v>
      </c>
      <c r="D542" s="174" t="s">
        <v>690</v>
      </c>
      <c r="E542" s="174"/>
      <c r="F542" s="72" t="s">
        <v>192</v>
      </c>
      <c r="G542" s="90">
        <v>290.64202999999998</v>
      </c>
      <c r="H542" s="91"/>
      <c r="I542" s="92" t="s">
        <v>63</v>
      </c>
      <c r="J542" s="90">
        <f>G542*AO542</f>
        <v>0</v>
      </c>
      <c r="K542" s="90">
        <f>G542*AP542</f>
        <v>0</v>
      </c>
      <c r="L542" s="90">
        <f>G542*H542</f>
        <v>0</v>
      </c>
      <c r="M542" s="90">
        <f>L542*(1+BW542/100)</f>
        <v>0</v>
      </c>
      <c r="N542" s="90">
        <v>0.33372000000000002</v>
      </c>
      <c r="O542" s="90">
        <f>G542*N542</f>
        <v>96.99305825159999</v>
      </c>
      <c r="P542" s="92" t="s">
        <v>64</v>
      </c>
      <c r="Z542" s="93">
        <f>IF(AQ542="5",BJ542,0)</f>
        <v>0</v>
      </c>
      <c r="AB542" s="93">
        <f>IF(AQ542="1",BH542,0)</f>
        <v>0</v>
      </c>
      <c r="AC542" s="93">
        <f>IF(AQ542="1",BI542,0)</f>
        <v>0</v>
      </c>
      <c r="AD542" s="93">
        <f>IF(AQ542="7",BH542,0)</f>
        <v>0</v>
      </c>
      <c r="AE542" s="93">
        <f>IF(AQ542="7",BI542,0)</f>
        <v>0</v>
      </c>
      <c r="AF542" s="93">
        <f>IF(AQ542="2",BH542,0)</f>
        <v>0</v>
      </c>
      <c r="AG542" s="93">
        <f>IF(AQ542="2",BI542,0)</f>
        <v>0</v>
      </c>
      <c r="AH542" s="93">
        <f>IF(AQ542="0",BJ542,0)</f>
        <v>0</v>
      </c>
      <c r="AI542" s="88" t="s">
        <v>55</v>
      </c>
      <c r="AJ542" s="93">
        <f>IF(AN542=0,L542,0)</f>
        <v>0</v>
      </c>
      <c r="AK542" s="93">
        <f>IF(AN542=12,L542,0)</f>
        <v>0</v>
      </c>
      <c r="AL542" s="93">
        <f>IF(AN542=21,L542,0)</f>
        <v>0</v>
      </c>
      <c r="AN542" s="93">
        <v>21</v>
      </c>
      <c r="AO542" s="93">
        <f>H542*0.791368742</f>
        <v>0</v>
      </c>
      <c r="AP542" s="93">
        <f>H542*(1-0.791368742)</f>
        <v>0</v>
      </c>
      <c r="AQ542" s="94" t="s">
        <v>59</v>
      </c>
      <c r="AV542" s="93">
        <f>AW542+AX542</f>
        <v>0</v>
      </c>
      <c r="AW542" s="93">
        <f>G542*AO542</f>
        <v>0</v>
      </c>
      <c r="AX542" s="93">
        <f>G542*AP542</f>
        <v>0</v>
      </c>
      <c r="AY542" s="94" t="s">
        <v>604</v>
      </c>
      <c r="AZ542" s="94" t="s">
        <v>605</v>
      </c>
      <c r="BA542" s="88" t="s">
        <v>67</v>
      </c>
      <c r="BC542" s="93">
        <f>AW542+AX542</f>
        <v>0</v>
      </c>
      <c r="BD542" s="93">
        <f>H542/(100-BE542)*100</f>
        <v>0</v>
      </c>
      <c r="BE542" s="93">
        <v>0</v>
      </c>
      <c r="BF542" s="93">
        <f>O542</f>
        <v>96.99305825159999</v>
      </c>
      <c r="BH542" s="93">
        <f>G542*AO542</f>
        <v>0</v>
      </c>
      <c r="BI542" s="93">
        <f>G542*AP542</f>
        <v>0</v>
      </c>
      <c r="BJ542" s="93">
        <f>G542*H542</f>
        <v>0</v>
      </c>
      <c r="BK542" s="93"/>
      <c r="BL542" s="93">
        <v>41</v>
      </c>
      <c r="BW542" s="93" t="str">
        <f>I542</f>
        <v>21</v>
      </c>
      <c r="BX542" s="2" t="s">
        <v>690</v>
      </c>
    </row>
    <row r="543" spans="1:76" s="81" customFormat="1" ht="13.5" customHeight="1" x14ac:dyDescent="0.25">
      <c r="A543" s="110"/>
      <c r="B543" s="95"/>
      <c r="C543" s="95"/>
      <c r="D543" s="179" t="s">
        <v>677</v>
      </c>
      <c r="E543" s="179"/>
      <c r="F543" s="179"/>
      <c r="G543" s="179"/>
      <c r="H543" s="179"/>
      <c r="I543" s="179"/>
      <c r="J543" s="179"/>
      <c r="K543" s="179"/>
      <c r="L543" s="179"/>
      <c r="M543" s="179"/>
      <c r="N543" s="179"/>
      <c r="O543" s="179"/>
      <c r="P543" s="179"/>
    </row>
    <row r="544" spans="1:76" s="81" customFormat="1" x14ac:dyDescent="0.25">
      <c r="A544" s="110"/>
      <c r="B544" s="95"/>
      <c r="C544" s="95"/>
      <c r="D544" s="76" t="s">
        <v>54</v>
      </c>
      <c r="E544" s="76" t="s">
        <v>691</v>
      </c>
      <c r="F544" s="95"/>
      <c r="G544" s="96">
        <v>0</v>
      </c>
      <c r="H544" s="95"/>
      <c r="I544" s="95"/>
      <c r="J544" s="95"/>
      <c r="K544" s="95"/>
      <c r="L544" s="95"/>
      <c r="M544" s="95"/>
      <c r="N544" s="95"/>
      <c r="O544" s="95"/>
      <c r="P544" s="95"/>
    </row>
    <row r="545" spans="1:76" s="81" customFormat="1" x14ac:dyDescent="0.25">
      <c r="A545" s="110"/>
      <c r="B545" s="95"/>
      <c r="C545" s="95"/>
      <c r="D545" s="76" t="s">
        <v>692</v>
      </c>
      <c r="E545" s="76" t="s">
        <v>54</v>
      </c>
      <c r="F545" s="95"/>
      <c r="G545" s="96">
        <v>146.10562999999999</v>
      </c>
      <c r="H545" s="95"/>
      <c r="I545" s="95"/>
      <c r="J545" s="95"/>
      <c r="K545" s="95"/>
      <c r="L545" s="95"/>
      <c r="M545" s="95"/>
      <c r="N545" s="95"/>
      <c r="O545" s="95"/>
      <c r="P545" s="95"/>
    </row>
    <row r="546" spans="1:76" s="81" customFormat="1" x14ac:dyDescent="0.25">
      <c r="A546" s="110"/>
      <c r="B546" s="95"/>
      <c r="C546" s="95"/>
      <c r="D546" s="76" t="s">
        <v>54</v>
      </c>
      <c r="E546" s="76" t="s">
        <v>584</v>
      </c>
      <c r="F546" s="95"/>
      <c r="G546" s="96">
        <v>0</v>
      </c>
      <c r="H546" s="95"/>
      <c r="I546" s="95"/>
      <c r="J546" s="95"/>
      <c r="K546" s="95"/>
      <c r="L546" s="95"/>
      <c r="M546" s="95"/>
      <c r="N546" s="95"/>
      <c r="O546" s="95"/>
      <c r="P546" s="95"/>
    </row>
    <row r="547" spans="1:76" s="81" customFormat="1" x14ac:dyDescent="0.25">
      <c r="A547" s="110"/>
      <c r="B547" s="95"/>
      <c r="C547" s="95"/>
      <c r="D547" s="76" t="s">
        <v>693</v>
      </c>
      <c r="E547" s="76" t="s">
        <v>54</v>
      </c>
      <c r="F547" s="95"/>
      <c r="G547" s="96">
        <v>144.53639999999999</v>
      </c>
      <c r="H547" s="95"/>
      <c r="I547" s="95"/>
      <c r="J547" s="95"/>
      <c r="K547" s="95"/>
      <c r="L547" s="95"/>
      <c r="M547" s="95"/>
      <c r="N547" s="95"/>
      <c r="O547" s="95"/>
      <c r="P547" s="95"/>
    </row>
    <row r="548" spans="1:76" s="81" customFormat="1" x14ac:dyDescent="0.25">
      <c r="A548" s="66" t="s">
        <v>694</v>
      </c>
      <c r="B548" s="72" t="s">
        <v>55</v>
      </c>
      <c r="C548" s="72" t="s">
        <v>695</v>
      </c>
      <c r="D548" s="174" t="s">
        <v>696</v>
      </c>
      <c r="E548" s="174"/>
      <c r="F548" s="72" t="s">
        <v>62</v>
      </c>
      <c r="G548" s="90">
        <v>32.204949999999997</v>
      </c>
      <c r="H548" s="91"/>
      <c r="I548" s="92" t="s">
        <v>63</v>
      </c>
      <c r="J548" s="90">
        <f>G548*AO548</f>
        <v>0</v>
      </c>
      <c r="K548" s="90">
        <f>G548*AP548</f>
        <v>0</v>
      </c>
      <c r="L548" s="90">
        <f>G548*H548</f>
        <v>0</v>
      </c>
      <c r="M548" s="90">
        <f>L548*(1+BW548/100)</f>
        <v>0</v>
      </c>
      <c r="N548" s="90">
        <v>2.5251100000000002</v>
      </c>
      <c r="O548" s="90">
        <f>G548*N548</f>
        <v>81.321041294499992</v>
      </c>
      <c r="P548" s="92" t="s">
        <v>64</v>
      </c>
      <c r="Z548" s="93">
        <f>IF(AQ548="5",BJ548,0)</f>
        <v>0</v>
      </c>
      <c r="AB548" s="93">
        <f>IF(AQ548="1",BH548,0)</f>
        <v>0</v>
      </c>
      <c r="AC548" s="93">
        <f>IF(AQ548="1",BI548,0)</f>
        <v>0</v>
      </c>
      <c r="AD548" s="93">
        <f>IF(AQ548="7",BH548,0)</f>
        <v>0</v>
      </c>
      <c r="AE548" s="93">
        <f>IF(AQ548="7",BI548,0)</f>
        <v>0</v>
      </c>
      <c r="AF548" s="93">
        <f>IF(AQ548="2",BH548,0)</f>
        <v>0</v>
      </c>
      <c r="AG548" s="93">
        <f>IF(AQ548="2",BI548,0)</f>
        <v>0</v>
      </c>
      <c r="AH548" s="93">
        <f>IF(AQ548="0",BJ548,0)</f>
        <v>0</v>
      </c>
      <c r="AI548" s="88" t="s">
        <v>55</v>
      </c>
      <c r="AJ548" s="93">
        <f>IF(AN548=0,L548,0)</f>
        <v>0</v>
      </c>
      <c r="AK548" s="93">
        <f>IF(AN548=12,L548,0)</f>
        <v>0</v>
      </c>
      <c r="AL548" s="93">
        <f>IF(AN548=21,L548,0)</f>
        <v>0</v>
      </c>
      <c r="AN548" s="93">
        <v>21</v>
      </c>
      <c r="AO548" s="93">
        <f>H548*0.857664107</f>
        <v>0</v>
      </c>
      <c r="AP548" s="93">
        <f>H548*(1-0.857664107)</f>
        <v>0</v>
      </c>
      <c r="AQ548" s="94" t="s">
        <v>59</v>
      </c>
      <c r="AV548" s="93">
        <f>AW548+AX548</f>
        <v>0</v>
      </c>
      <c r="AW548" s="93">
        <f>G548*AO548</f>
        <v>0</v>
      </c>
      <c r="AX548" s="93">
        <f>G548*AP548</f>
        <v>0</v>
      </c>
      <c r="AY548" s="94" t="s">
        <v>604</v>
      </c>
      <c r="AZ548" s="94" t="s">
        <v>605</v>
      </c>
      <c r="BA548" s="88" t="s">
        <v>67</v>
      </c>
      <c r="BC548" s="93">
        <f>AW548+AX548</f>
        <v>0</v>
      </c>
      <c r="BD548" s="93">
        <f>H548/(100-BE548)*100</f>
        <v>0</v>
      </c>
      <c r="BE548" s="93">
        <v>0</v>
      </c>
      <c r="BF548" s="93">
        <f>O548</f>
        <v>81.321041294499992</v>
      </c>
      <c r="BH548" s="93">
        <f>G548*AO548</f>
        <v>0</v>
      </c>
      <c r="BI548" s="93">
        <f>G548*AP548</f>
        <v>0</v>
      </c>
      <c r="BJ548" s="93">
        <f>G548*H548</f>
        <v>0</v>
      </c>
      <c r="BK548" s="93"/>
      <c r="BL548" s="93">
        <v>41</v>
      </c>
      <c r="BW548" s="93" t="str">
        <f>I548</f>
        <v>21</v>
      </c>
      <c r="BX548" s="2" t="s">
        <v>696</v>
      </c>
    </row>
    <row r="549" spans="1:76" s="81" customFormat="1" ht="25.5" x14ac:dyDescent="0.25">
      <c r="A549" s="110"/>
      <c r="B549" s="95"/>
      <c r="C549" s="95"/>
      <c r="D549" s="76" t="s">
        <v>54</v>
      </c>
      <c r="E549" s="76" t="s">
        <v>697</v>
      </c>
      <c r="F549" s="95"/>
      <c r="G549" s="96">
        <v>0</v>
      </c>
      <c r="H549" s="97"/>
      <c r="I549" s="95"/>
      <c r="J549" s="95"/>
      <c r="K549" s="95"/>
      <c r="L549" s="95"/>
      <c r="M549" s="95"/>
      <c r="N549" s="95"/>
      <c r="O549" s="95"/>
      <c r="P549" s="95"/>
    </row>
    <row r="550" spans="1:76" s="81" customFormat="1" x14ac:dyDescent="0.25">
      <c r="A550" s="110"/>
      <c r="B550" s="95"/>
      <c r="C550" s="95"/>
      <c r="D550" s="76" t="s">
        <v>698</v>
      </c>
      <c r="E550" s="76" t="s">
        <v>54</v>
      </c>
      <c r="F550" s="95"/>
      <c r="G550" s="96">
        <v>0.14707999999999999</v>
      </c>
      <c r="H550" s="97"/>
      <c r="I550" s="95"/>
      <c r="J550" s="95"/>
      <c r="K550" s="95"/>
      <c r="L550" s="95"/>
      <c r="M550" s="95"/>
      <c r="N550" s="95"/>
      <c r="O550" s="95"/>
      <c r="P550" s="95"/>
    </row>
    <row r="551" spans="1:76" s="81" customFormat="1" ht="25.5" x14ac:dyDescent="0.25">
      <c r="A551" s="110"/>
      <c r="B551" s="95"/>
      <c r="C551" s="95"/>
      <c r="D551" s="76" t="s">
        <v>54</v>
      </c>
      <c r="E551" s="76" t="s">
        <v>699</v>
      </c>
      <c r="F551" s="95"/>
      <c r="G551" s="96">
        <v>0</v>
      </c>
      <c r="H551" s="97"/>
      <c r="I551" s="95"/>
      <c r="J551" s="95"/>
      <c r="K551" s="95"/>
      <c r="L551" s="95"/>
      <c r="M551" s="95"/>
      <c r="N551" s="95"/>
      <c r="O551" s="95"/>
      <c r="P551" s="95"/>
    </row>
    <row r="552" spans="1:76" s="81" customFormat="1" x14ac:dyDescent="0.25">
      <c r="A552" s="110"/>
      <c r="B552" s="95"/>
      <c r="C552" s="95"/>
      <c r="D552" s="76" t="s">
        <v>700</v>
      </c>
      <c r="E552" s="76" t="s">
        <v>54</v>
      </c>
      <c r="F552" s="95"/>
      <c r="G552" s="96">
        <v>0.46394999999999997</v>
      </c>
      <c r="H552" s="97"/>
      <c r="I552" s="95"/>
      <c r="J552" s="95"/>
      <c r="K552" s="95"/>
      <c r="L552" s="95"/>
      <c r="M552" s="95"/>
      <c r="N552" s="95"/>
      <c r="O552" s="95"/>
      <c r="P552" s="95"/>
    </row>
    <row r="553" spans="1:76" s="81" customFormat="1" x14ac:dyDescent="0.25">
      <c r="A553" s="110"/>
      <c r="B553" s="95"/>
      <c r="C553" s="95"/>
      <c r="D553" s="76" t="s">
        <v>54</v>
      </c>
      <c r="E553" s="76" t="s">
        <v>701</v>
      </c>
      <c r="F553" s="95"/>
      <c r="G553" s="96">
        <v>0</v>
      </c>
      <c r="H553" s="97"/>
      <c r="I553" s="95"/>
      <c r="J553" s="95"/>
      <c r="K553" s="95"/>
      <c r="L553" s="95"/>
      <c r="M553" s="95"/>
      <c r="N553" s="95"/>
      <c r="O553" s="95"/>
      <c r="P553" s="95"/>
    </row>
    <row r="554" spans="1:76" s="81" customFormat="1" x14ac:dyDescent="0.25">
      <c r="A554" s="110"/>
      <c r="B554" s="95"/>
      <c r="C554" s="95"/>
      <c r="D554" s="76" t="s">
        <v>702</v>
      </c>
      <c r="E554" s="76" t="s">
        <v>54</v>
      </c>
      <c r="F554" s="95"/>
      <c r="G554" s="96">
        <v>0.74816000000000005</v>
      </c>
      <c r="H554" s="97"/>
      <c r="I554" s="95"/>
      <c r="J554" s="95"/>
      <c r="K554" s="95"/>
      <c r="L554" s="95"/>
      <c r="M554" s="95"/>
      <c r="N554" s="95"/>
      <c r="O554" s="95"/>
      <c r="P554" s="95"/>
    </row>
    <row r="555" spans="1:76" s="81" customFormat="1" x14ac:dyDescent="0.25">
      <c r="A555" s="110"/>
      <c r="B555" s="95"/>
      <c r="C555" s="95"/>
      <c r="D555" s="76" t="s">
        <v>703</v>
      </c>
      <c r="E555" s="76" t="s">
        <v>54</v>
      </c>
      <c r="F555" s="95"/>
      <c r="G555" s="96">
        <v>0.38549</v>
      </c>
      <c r="H555" s="97"/>
      <c r="I555" s="95"/>
      <c r="J555" s="95"/>
      <c r="K555" s="95"/>
      <c r="L555" s="95"/>
      <c r="M555" s="95"/>
      <c r="N555" s="95"/>
      <c r="O555" s="95"/>
      <c r="P555" s="95"/>
    </row>
    <row r="556" spans="1:76" s="81" customFormat="1" x14ac:dyDescent="0.25">
      <c r="A556" s="110"/>
      <c r="B556" s="95"/>
      <c r="C556" s="95"/>
      <c r="D556" s="76" t="s">
        <v>704</v>
      </c>
      <c r="E556" s="76" t="s">
        <v>54</v>
      </c>
      <c r="F556" s="95"/>
      <c r="G556" s="96">
        <v>0.45511000000000001</v>
      </c>
      <c r="H556" s="97"/>
      <c r="I556" s="95"/>
      <c r="J556" s="95"/>
      <c r="K556" s="95"/>
      <c r="L556" s="95"/>
      <c r="M556" s="95"/>
      <c r="N556" s="95"/>
      <c r="O556" s="95"/>
      <c r="P556" s="95"/>
    </row>
    <row r="557" spans="1:76" s="81" customFormat="1" x14ac:dyDescent="0.25">
      <c r="A557" s="110"/>
      <c r="B557" s="95"/>
      <c r="C557" s="95"/>
      <c r="D557" s="76" t="s">
        <v>705</v>
      </c>
      <c r="E557" s="76" t="s">
        <v>54</v>
      </c>
      <c r="F557" s="95"/>
      <c r="G557" s="96">
        <v>0.47544999999999998</v>
      </c>
      <c r="H557" s="97"/>
      <c r="I557" s="95"/>
      <c r="J557" s="95"/>
      <c r="K557" s="95"/>
      <c r="L557" s="95"/>
      <c r="M557" s="95"/>
      <c r="N557" s="95"/>
      <c r="O557" s="95"/>
      <c r="P557" s="95"/>
    </row>
    <row r="558" spans="1:76" s="81" customFormat="1" x14ac:dyDescent="0.25">
      <c r="A558" s="110"/>
      <c r="B558" s="95"/>
      <c r="C558" s="95"/>
      <c r="D558" s="76" t="s">
        <v>706</v>
      </c>
      <c r="E558" s="76" t="s">
        <v>54</v>
      </c>
      <c r="F558" s="95"/>
      <c r="G558" s="96">
        <v>0.32983000000000001</v>
      </c>
      <c r="H558" s="97"/>
      <c r="I558" s="95"/>
      <c r="J558" s="95"/>
      <c r="K558" s="95"/>
      <c r="L558" s="95"/>
      <c r="M558" s="95"/>
      <c r="N558" s="95"/>
      <c r="O558" s="95"/>
      <c r="P558" s="95"/>
    </row>
    <row r="559" spans="1:76" s="81" customFormat="1" x14ac:dyDescent="0.25">
      <c r="A559" s="110"/>
      <c r="B559" s="95"/>
      <c r="C559" s="95"/>
      <c r="D559" s="76" t="s">
        <v>707</v>
      </c>
      <c r="E559" s="76" t="s">
        <v>708</v>
      </c>
      <c r="F559" s="95"/>
      <c r="G559" s="96">
        <v>3.14168</v>
      </c>
      <c r="H559" s="97"/>
      <c r="I559" s="95"/>
      <c r="J559" s="95"/>
      <c r="K559" s="95"/>
      <c r="L559" s="95"/>
      <c r="M559" s="95"/>
      <c r="N559" s="95"/>
      <c r="O559" s="95"/>
      <c r="P559" s="95"/>
    </row>
    <row r="560" spans="1:76" s="81" customFormat="1" x14ac:dyDescent="0.25">
      <c r="A560" s="110"/>
      <c r="B560" s="95"/>
      <c r="C560" s="95"/>
      <c r="D560" s="76" t="s">
        <v>709</v>
      </c>
      <c r="E560" s="76" t="s">
        <v>54</v>
      </c>
      <c r="F560" s="95"/>
      <c r="G560" s="96">
        <v>3.1078600000000001</v>
      </c>
      <c r="H560" s="97"/>
      <c r="I560" s="95"/>
      <c r="J560" s="95"/>
      <c r="K560" s="95"/>
      <c r="L560" s="95"/>
      <c r="M560" s="95"/>
      <c r="N560" s="95"/>
      <c r="O560" s="95"/>
      <c r="P560" s="95"/>
    </row>
    <row r="561" spans="1:16" s="81" customFormat="1" x14ac:dyDescent="0.25">
      <c r="A561" s="110"/>
      <c r="B561" s="95"/>
      <c r="C561" s="95"/>
      <c r="D561" s="76" t="s">
        <v>710</v>
      </c>
      <c r="E561" s="76" t="s">
        <v>54</v>
      </c>
      <c r="F561" s="95"/>
      <c r="G561" s="96">
        <v>1.8800300000000001</v>
      </c>
      <c r="H561" s="97"/>
      <c r="I561" s="95"/>
      <c r="J561" s="95"/>
      <c r="K561" s="95"/>
      <c r="L561" s="95"/>
      <c r="M561" s="95"/>
      <c r="N561" s="95"/>
      <c r="O561" s="95"/>
      <c r="P561" s="95"/>
    </row>
    <row r="562" spans="1:16" s="81" customFormat="1" x14ac:dyDescent="0.25">
      <c r="A562" s="110"/>
      <c r="B562" s="95"/>
      <c r="C562" s="95"/>
      <c r="D562" s="76" t="s">
        <v>711</v>
      </c>
      <c r="E562" s="76" t="s">
        <v>54</v>
      </c>
      <c r="F562" s="95"/>
      <c r="G562" s="96">
        <v>0.64019000000000004</v>
      </c>
      <c r="H562" s="97"/>
      <c r="I562" s="95"/>
      <c r="J562" s="95"/>
      <c r="K562" s="95"/>
      <c r="L562" s="95"/>
      <c r="M562" s="95"/>
      <c r="N562" s="95"/>
      <c r="O562" s="95"/>
      <c r="P562" s="95"/>
    </row>
    <row r="563" spans="1:16" s="81" customFormat="1" x14ac:dyDescent="0.25">
      <c r="A563" s="110"/>
      <c r="B563" s="95"/>
      <c r="C563" s="95"/>
      <c r="D563" s="76" t="s">
        <v>712</v>
      </c>
      <c r="E563" s="76" t="s">
        <v>54</v>
      </c>
      <c r="F563" s="95"/>
      <c r="G563" s="96">
        <v>0.81459999999999999</v>
      </c>
      <c r="H563" s="97"/>
      <c r="I563" s="95"/>
      <c r="J563" s="95"/>
      <c r="K563" s="95"/>
      <c r="L563" s="95"/>
      <c r="M563" s="95"/>
      <c r="N563" s="95"/>
      <c r="O563" s="95"/>
      <c r="P563" s="95"/>
    </row>
    <row r="564" spans="1:16" s="81" customFormat="1" x14ac:dyDescent="0.25">
      <c r="A564" s="110"/>
      <c r="B564" s="95"/>
      <c r="C564" s="95"/>
      <c r="D564" s="76" t="s">
        <v>713</v>
      </c>
      <c r="E564" s="76" t="s">
        <v>54</v>
      </c>
      <c r="F564" s="95"/>
      <c r="G564" s="96">
        <v>3.17903</v>
      </c>
      <c r="H564" s="97"/>
      <c r="I564" s="95"/>
      <c r="J564" s="95"/>
      <c r="K564" s="95"/>
      <c r="L564" s="95"/>
      <c r="M564" s="95"/>
      <c r="N564" s="95"/>
      <c r="O564" s="95"/>
      <c r="P564" s="95"/>
    </row>
    <row r="565" spans="1:16" s="81" customFormat="1" x14ac:dyDescent="0.25">
      <c r="A565" s="110"/>
      <c r="B565" s="95"/>
      <c r="C565" s="95"/>
      <c r="D565" s="76" t="s">
        <v>714</v>
      </c>
      <c r="E565" s="76" t="s">
        <v>54</v>
      </c>
      <c r="F565" s="95"/>
      <c r="G565" s="96">
        <v>0.20791000000000001</v>
      </c>
      <c r="H565" s="97"/>
      <c r="I565" s="95"/>
      <c r="J565" s="95"/>
      <c r="K565" s="95"/>
      <c r="L565" s="95"/>
      <c r="M565" s="95"/>
      <c r="N565" s="95"/>
      <c r="O565" s="95"/>
      <c r="P565" s="95"/>
    </row>
    <row r="566" spans="1:16" s="81" customFormat="1" x14ac:dyDescent="0.25">
      <c r="A566" s="110"/>
      <c r="B566" s="95"/>
      <c r="C566" s="95"/>
      <c r="D566" s="76" t="s">
        <v>715</v>
      </c>
      <c r="E566" s="76" t="s">
        <v>54</v>
      </c>
      <c r="F566" s="95"/>
      <c r="G566" s="96">
        <v>0.49754999999999999</v>
      </c>
      <c r="H566" s="97"/>
      <c r="I566" s="95"/>
      <c r="J566" s="95"/>
      <c r="K566" s="95"/>
      <c r="L566" s="95"/>
      <c r="M566" s="95"/>
      <c r="N566" s="95"/>
      <c r="O566" s="95"/>
      <c r="P566" s="95"/>
    </row>
    <row r="567" spans="1:16" s="81" customFormat="1" x14ac:dyDescent="0.25">
      <c r="A567" s="110"/>
      <c r="B567" s="95"/>
      <c r="C567" s="95"/>
      <c r="D567" s="76" t="s">
        <v>54</v>
      </c>
      <c r="E567" s="76" t="s">
        <v>716</v>
      </c>
      <c r="F567" s="95"/>
      <c r="G567" s="96">
        <v>0</v>
      </c>
      <c r="H567" s="97"/>
      <c r="I567" s="95"/>
      <c r="J567" s="95"/>
      <c r="K567" s="95"/>
      <c r="L567" s="95"/>
      <c r="M567" s="95"/>
      <c r="N567" s="95"/>
      <c r="O567" s="95"/>
      <c r="P567" s="95"/>
    </row>
    <row r="568" spans="1:16" s="81" customFormat="1" x14ac:dyDescent="0.25">
      <c r="A568" s="110"/>
      <c r="B568" s="95"/>
      <c r="C568" s="95"/>
      <c r="D568" s="76" t="s">
        <v>717</v>
      </c>
      <c r="E568" s="76" t="s">
        <v>54</v>
      </c>
      <c r="F568" s="95"/>
      <c r="G568" s="96">
        <v>1.0162800000000001</v>
      </c>
      <c r="H568" s="97"/>
      <c r="I568" s="95"/>
      <c r="J568" s="95"/>
      <c r="K568" s="95"/>
      <c r="L568" s="95"/>
      <c r="M568" s="95"/>
      <c r="N568" s="95"/>
      <c r="O568" s="95"/>
      <c r="P568" s="95"/>
    </row>
    <row r="569" spans="1:16" s="81" customFormat="1" x14ac:dyDescent="0.25">
      <c r="A569" s="110"/>
      <c r="B569" s="95"/>
      <c r="C569" s="95"/>
      <c r="D569" s="76" t="s">
        <v>718</v>
      </c>
      <c r="E569" s="76" t="s">
        <v>54</v>
      </c>
      <c r="F569" s="95"/>
      <c r="G569" s="96">
        <v>0.39156000000000002</v>
      </c>
      <c r="H569" s="97"/>
      <c r="I569" s="95"/>
      <c r="J569" s="95"/>
      <c r="K569" s="95"/>
      <c r="L569" s="95"/>
      <c r="M569" s="95"/>
      <c r="N569" s="95"/>
      <c r="O569" s="95"/>
      <c r="P569" s="95"/>
    </row>
    <row r="570" spans="1:16" s="81" customFormat="1" x14ac:dyDescent="0.25">
      <c r="A570" s="110"/>
      <c r="B570" s="95"/>
      <c r="C570" s="95"/>
      <c r="D570" s="76" t="s">
        <v>54</v>
      </c>
      <c r="E570" s="76" t="s">
        <v>719</v>
      </c>
      <c r="F570" s="95"/>
      <c r="G570" s="96">
        <v>0</v>
      </c>
      <c r="H570" s="97"/>
      <c r="I570" s="95"/>
      <c r="J570" s="95"/>
      <c r="K570" s="95"/>
      <c r="L570" s="95"/>
      <c r="M570" s="95"/>
      <c r="N570" s="95"/>
      <c r="O570" s="95"/>
      <c r="P570" s="95"/>
    </row>
    <row r="571" spans="1:16" s="81" customFormat="1" x14ac:dyDescent="0.25">
      <c r="A571" s="110"/>
      <c r="B571" s="95"/>
      <c r="C571" s="95"/>
      <c r="D571" s="76" t="s">
        <v>720</v>
      </c>
      <c r="E571" s="76" t="s">
        <v>54</v>
      </c>
      <c r="F571" s="95"/>
      <c r="G571" s="96">
        <v>0.96187999999999996</v>
      </c>
      <c r="H571" s="97"/>
      <c r="I571" s="95"/>
      <c r="J571" s="95"/>
      <c r="K571" s="95"/>
      <c r="L571" s="95"/>
      <c r="M571" s="95"/>
      <c r="N571" s="95"/>
      <c r="O571" s="95"/>
      <c r="P571" s="95"/>
    </row>
    <row r="572" spans="1:16" s="81" customFormat="1" x14ac:dyDescent="0.25">
      <c r="A572" s="110"/>
      <c r="B572" s="95"/>
      <c r="C572" s="95"/>
      <c r="D572" s="76" t="s">
        <v>721</v>
      </c>
      <c r="E572" s="76" t="s">
        <v>722</v>
      </c>
      <c r="F572" s="95"/>
      <c r="G572" s="96">
        <v>2.0273400000000001</v>
      </c>
      <c r="H572" s="97"/>
      <c r="I572" s="95"/>
      <c r="J572" s="95"/>
      <c r="K572" s="95"/>
      <c r="L572" s="95"/>
      <c r="M572" s="95"/>
      <c r="N572" s="95"/>
      <c r="O572" s="95"/>
      <c r="P572" s="95"/>
    </row>
    <row r="573" spans="1:16" s="81" customFormat="1" x14ac:dyDescent="0.25">
      <c r="A573" s="110"/>
      <c r="B573" s="95"/>
      <c r="C573" s="95"/>
      <c r="D573" s="76" t="s">
        <v>54</v>
      </c>
      <c r="E573" s="76" t="s">
        <v>723</v>
      </c>
      <c r="F573" s="95"/>
      <c r="G573" s="96">
        <v>0</v>
      </c>
      <c r="H573" s="97"/>
      <c r="I573" s="95"/>
      <c r="J573" s="95"/>
      <c r="K573" s="95"/>
      <c r="L573" s="95"/>
      <c r="M573" s="95"/>
      <c r="N573" s="95"/>
      <c r="O573" s="95"/>
      <c r="P573" s="95"/>
    </row>
    <row r="574" spans="1:16" s="81" customFormat="1" x14ac:dyDescent="0.25">
      <c r="A574" s="110"/>
      <c r="B574" s="95"/>
      <c r="C574" s="95"/>
      <c r="D574" s="76" t="s">
        <v>724</v>
      </c>
      <c r="E574" s="76" t="s">
        <v>54</v>
      </c>
      <c r="F574" s="95"/>
      <c r="G574" s="96">
        <v>0.98834</v>
      </c>
      <c r="H574" s="97"/>
      <c r="I574" s="95"/>
      <c r="J574" s="95"/>
      <c r="K574" s="95"/>
      <c r="L574" s="95"/>
      <c r="M574" s="95"/>
      <c r="N574" s="95"/>
      <c r="O574" s="95"/>
      <c r="P574" s="95"/>
    </row>
    <row r="575" spans="1:16" s="81" customFormat="1" x14ac:dyDescent="0.25">
      <c r="A575" s="110"/>
      <c r="B575" s="95"/>
      <c r="C575" s="95"/>
      <c r="D575" s="76" t="s">
        <v>725</v>
      </c>
      <c r="E575" s="76" t="s">
        <v>54</v>
      </c>
      <c r="F575" s="95"/>
      <c r="G575" s="96">
        <v>4.0765700000000002</v>
      </c>
      <c r="H575" s="97"/>
      <c r="I575" s="95"/>
      <c r="J575" s="95"/>
      <c r="K575" s="95"/>
      <c r="L575" s="95"/>
      <c r="M575" s="95"/>
      <c r="N575" s="95"/>
      <c r="O575" s="95"/>
      <c r="P575" s="95"/>
    </row>
    <row r="576" spans="1:16" s="81" customFormat="1" x14ac:dyDescent="0.25">
      <c r="A576" s="110"/>
      <c r="B576" s="95"/>
      <c r="C576" s="95"/>
      <c r="D576" s="76" t="s">
        <v>726</v>
      </c>
      <c r="E576" s="76" t="s">
        <v>727</v>
      </c>
      <c r="F576" s="95"/>
      <c r="G576" s="96">
        <v>0.53369999999999995</v>
      </c>
      <c r="H576" s="97"/>
      <c r="I576" s="95"/>
      <c r="J576" s="95"/>
      <c r="K576" s="95"/>
      <c r="L576" s="95"/>
      <c r="M576" s="95"/>
      <c r="N576" s="95"/>
      <c r="O576" s="95"/>
      <c r="P576" s="95"/>
    </row>
    <row r="577" spans="1:76" s="81" customFormat="1" x14ac:dyDescent="0.25">
      <c r="A577" s="110"/>
      <c r="B577" s="95"/>
      <c r="C577" s="95"/>
      <c r="D577" s="76" t="s">
        <v>728</v>
      </c>
      <c r="E577" s="76" t="s">
        <v>729</v>
      </c>
      <c r="F577" s="95"/>
      <c r="G577" s="96">
        <v>0.70313000000000003</v>
      </c>
      <c r="H577" s="97"/>
      <c r="I577" s="95"/>
      <c r="J577" s="95"/>
      <c r="K577" s="95"/>
      <c r="L577" s="95"/>
      <c r="M577" s="95"/>
      <c r="N577" s="95"/>
      <c r="O577" s="95"/>
      <c r="P577" s="95"/>
    </row>
    <row r="578" spans="1:76" s="81" customFormat="1" x14ac:dyDescent="0.25">
      <c r="A578" s="110"/>
      <c r="B578" s="95"/>
      <c r="C578" s="95"/>
      <c r="D578" s="76" t="s">
        <v>730</v>
      </c>
      <c r="E578" s="76" t="s">
        <v>54</v>
      </c>
      <c r="F578" s="95"/>
      <c r="G578" s="96">
        <v>2.0863100000000001</v>
      </c>
      <c r="H578" s="97"/>
      <c r="I578" s="95"/>
      <c r="J578" s="95"/>
      <c r="K578" s="95"/>
      <c r="L578" s="95"/>
      <c r="M578" s="95"/>
      <c r="N578" s="95"/>
      <c r="O578" s="95"/>
      <c r="P578" s="95"/>
    </row>
    <row r="579" spans="1:76" s="81" customFormat="1" x14ac:dyDescent="0.25">
      <c r="A579" s="110"/>
      <c r="B579" s="95"/>
      <c r="C579" s="95"/>
      <c r="D579" s="76" t="s">
        <v>731</v>
      </c>
      <c r="E579" s="76" t="s">
        <v>54</v>
      </c>
      <c r="F579" s="95"/>
      <c r="G579" s="96">
        <v>1.1195299999999999</v>
      </c>
      <c r="H579" s="97"/>
      <c r="I579" s="95"/>
      <c r="J579" s="95"/>
      <c r="K579" s="95"/>
      <c r="L579" s="95"/>
      <c r="M579" s="95"/>
      <c r="N579" s="95"/>
      <c r="O579" s="95"/>
      <c r="P579" s="95"/>
    </row>
    <row r="580" spans="1:76" s="81" customFormat="1" x14ac:dyDescent="0.25">
      <c r="A580" s="110"/>
      <c r="B580" s="95"/>
      <c r="C580" s="95"/>
      <c r="D580" s="76" t="s">
        <v>732</v>
      </c>
      <c r="E580" s="76" t="s">
        <v>54</v>
      </c>
      <c r="F580" s="95"/>
      <c r="G580" s="96">
        <v>0.20250000000000001</v>
      </c>
      <c r="H580" s="97"/>
      <c r="I580" s="95"/>
      <c r="J580" s="95"/>
      <c r="K580" s="95"/>
      <c r="L580" s="95"/>
      <c r="M580" s="95"/>
      <c r="N580" s="95"/>
      <c r="O580" s="95"/>
      <c r="P580" s="95"/>
    </row>
    <row r="581" spans="1:76" s="81" customFormat="1" x14ac:dyDescent="0.25">
      <c r="A581" s="110"/>
      <c r="B581" s="95"/>
      <c r="C581" s="95"/>
      <c r="D581" s="76" t="s">
        <v>733</v>
      </c>
      <c r="E581" s="76" t="s">
        <v>54</v>
      </c>
      <c r="F581" s="95"/>
      <c r="G581" s="96">
        <v>0.16875000000000001</v>
      </c>
      <c r="H581" s="97"/>
      <c r="I581" s="95"/>
      <c r="J581" s="95"/>
      <c r="K581" s="95"/>
      <c r="L581" s="95"/>
      <c r="M581" s="95"/>
      <c r="N581" s="95"/>
      <c r="O581" s="95"/>
      <c r="P581" s="95"/>
    </row>
    <row r="582" spans="1:76" s="81" customFormat="1" x14ac:dyDescent="0.25">
      <c r="A582" s="110"/>
      <c r="B582" s="95"/>
      <c r="C582" s="95"/>
      <c r="D582" s="76" t="s">
        <v>734</v>
      </c>
      <c r="E582" s="76" t="s">
        <v>54</v>
      </c>
      <c r="F582" s="95"/>
      <c r="G582" s="96">
        <v>1.30688</v>
      </c>
      <c r="H582" s="97"/>
      <c r="I582" s="95"/>
      <c r="J582" s="95"/>
      <c r="K582" s="95"/>
      <c r="L582" s="95"/>
      <c r="M582" s="95"/>
      <c r="N582" s="95"/>
      <c r="O582" s="95"/>
      <c r="P582" s="95"/>
    </row>
    <row r="583" spans="1:76" s="81" customFormat="1" x14ac:dyDescent="0.25">
      <c r="A583" s="110"/>
      <c r="B583" s="95"/>
      <c r="C583" s="95"/>
      <c r="D583" s="76" t="s">
        <v>735</v>
      </c>
      <c r="E583" s="76" t="s">
        <v>54</v>
      </c>
      <c r="F583" s="95"/>
      <c r="G583" s="96">
        <v>0.14826</v>
      </c>
      <c r="H583" s="97"/>
      <c r="I583" s="95"/>
      <c r="J583" s="95"/>
      <c r="K583" s="95"/>
      <c r="L583" s="95"/>
      <c r="M583" s="95"/>
      <c r="N583" s="95"/>
      <c r="O583" s="95"/>
      <c r="P583" s="95"/>
    </row>
    <row r="584" spans="1:76" s="81" customFormat="1" x14ac:dyDescent="0.25">
      <c r="A584" s="66" t="s">
        <v>736</v>
      </c>
      <c r="B584" s="72" t="s">
        <v>55</v>
      </c>
      <c r="C584" s="72" t="s">
        <v>737</v>
      </c>
      <c r="D584" s="174" t="s">
        <v>738</v>
      </c>
      <c r="E584" s="174"/>
      <c r="F584" s="72" t="s">
        <v>192</v>
      </c>
      <c r="G584" s="90">
        <v>238.94233</v>
      </c>
      <c r="H584" s="91"/>
      <c r="I584" s="92" t="s">
        <v>63</v>
      </c>
      <c r="J584" s="90">
        <f>G584*AO584</f>
        <v>0</v>
      </c>
      <c r="K584" s="90">
        <f>G584*AP584</f>
        <v>0</v>
      </c>
      <c r="L584" s="90">
        <f>G584*H584</f>
        <v>0</v>
      </c>
      <c r="M584" s="90">
        <f>L584*(1+BW584/100)</f>
        <v>0</v>
      </c>
      <c r="N584" s="90">
        <v>7.8200000000000006E-3</v>
      </c>
      <c r="O584" s="90">
        <f>G584*N584</f>
        <v>1.8685290206</v>
      </c>
      <c r="P584" s="92" t="s">
        <v>64</v>
      </c>
      <c r="Z584" s="93">
        <f>IF(AQ584="5",BJ584,0)</f>
        <v>0</v>
      </c>
      <c r="AB584" s="93">
        <f>IF(AQ584="1",BH584,0)</f>
        <v>0</v>
      </c>
      <c r="AC584" s="93">
        <f>IF(AQ584="1",BI584,0)</f>
        <v>0</v>
      </c>
      <c r="AD584" s="93">
        <f>IF(AQ584="7",BH584,0)</f>
        <v>0</v>
      </c>
      <c r="AE584" s="93">
        <f>IF(AQ584="7",BI584,0)</f>
        <v>0</v>
      </c>
      <c r="AF584" s="93">
        <f>IF(AQ584="2",BH584,0)</f>
        <v>0</v>
      </c>
      <c r="AG584" s="93">
        <f>IF(AQ584="2",BI584,0)</f>
        <v>0</v>
      </c>
      <c r="AH584" s="93">
        <f>IF(AQ584="0",BJ584,0)</f>
        <v>0</v>
      </c>
      <c r="AI584" s="88" t="s">
        <v>55</v>
      </c>
      <c r="AJ584" s="93">
        <f>IF(AN584=0,L584,0)</f>
        <v>0</v>
      </c>
      <c r="AK584" s="93">
        <f>IF(AN584=12,L584,0)</f>
        <v>0</v>
      </c>
      <c r="AL584" s="93">
        <f>IF(AN584=21,L584,0)</f>
        <v>0</v>
      </c>
      <c r="AN584" s="93">
        <v>21</v>
      </c>
      <c r="AO584" s="93">
        <f>H584*0.206732483</f>
        <v>0</v>
      </c>
      <c r="AP584" s="93">
        <f>H584*(1-0.206732483)</f>
        <v>0</v>
      </c>
      <c r="AQ584" s="94" t="s">
        <v>59</v>
      </c>
      <c r="AV584" s="93">
        <f>AW584+AX584</f>
        <v>0</v>
      </c>
      <c r="AW584" s="93">
        <f>G584*AO584</f>
        <v>0</v>
      </c>
      <c r="AX584" s="93">
        <f>G584*AP584</f>
        <v>0</v>
      </c>
      <c r="AY584" s="94" t="s">
        <v>604</v>
      </c>
      <c r="AZ584" s="94" t="s">
        <v>605</v>
      </c>
      <c r="BA584" s="88" t="s">
        <v>67</v>
      </c>
      <c r="BC584" s="93">
        <f>AW584+AX584</f>
        <v>0</v>
      </c>
      <c r="BD584" s="93">
        <f>H584/(100-BE584)*100</f>
        <v>0</v>
      </c>
      <c r="BE584" s="93">
        <v>0</v>
      </c>
      <c r="BF584" s="93">
        <f>O584</f>
        <v>1.8685290206</v>
      </c>
      <c r="BH584" s="93">
        <f>G584*AO584</f>
        <v>0</v>
      </c>
      <c r="BI584" s="93">
        <f>G584*AP584</f>
        <v>0</v>
      </c>
      <c r="BJ584" s="93">
        <f>G584*H584</f>
        <v>0</v>
      </c>
      <c r="BK584" s="93"/>
      <c r="BL584" s="93">
        <v>41</v>
      </c>
      <c r="BW584" s="93" t="str">
        <f>I584</f>
        <v>21</v>
      </c>
      <c r="BX584" s="2" t="s">
        <v>738</v>
      </c>
    </row>
    <row r="585" spans="1:76" s="81" customFormat="1" ht="25.5" x14ac:dyDescent="0.25">
      <c r="A585" s="110"/>
      <c r="B585" s="95"/>
      <c r="C585" s="95"/>
      <c r="D585" s="76" t="s">
        <v>54</v>
      </c>
      <c r="E585" s="76" t="s">
        <v>697</v>
      </c>
      <c r="F585" s="95"/>
      <c r="G585" s="96">
        <v>0</v>
      </c>
      <c r="H585" s="97"/>
      <c r="I585" s="95"/>
      <c r="J585" s="95"/>
      <c r="K585" s="95"/>
      <c r="L585" s="95"/>
      <c r="M585" s="95"/>
      <c r="N585" s="95"/>
      <c r="O585" s="95"/>
      <c r="P585" s="95"/>
    </row>
    <row r="586" spans="1:76" s="81" customFormat="1" ht="25.5" x14ac:dyDescent="0.25">
      <c r="A586" s="110"/>
      <c r="B586" s="95"/>
      <c r="C586" s="95"/>
      <c r="D586" s="76" t="s">
        <v>739</v>
      </c>
      <c r="E586" s="76" t="s">
        <v>54</v>
      </c>
      <c r="F586" s="95"/>
      <c r="G586" s="96">
        <v>1.2390000000000001</v>
      </c>
      <c r="H586" s="97"/>
      <c r="I586" s="95"/>
      <c r="J586" s="95"/>
      <c r="K586" s="95"/>
      <c r="L586" s="95"/>
      <c r="M586" s="95"/>
      <c r="N586" s="95"/>
      <c r="O586" s="95"/>
      <c r="P586" s="95"/>
    </row>
    <row r="587" spans="1:76" s="81" customFormat="1" ht="25.5" x14ac:dyDescent="0.25">
      <c r="A587" s="110"/>
      <c r="B587" s="95"/>
      <c r="C587" s="95"/>
      <c r="D587" s="76" t="s">
        <v>54</v>
      </c>
      <c r="E587" s="76" t="s">
        <v>699</v>
      </c>
      <c r="F587" s="95"/>
      <c r="G587" s="96">
        <v>0</v>
      </c>
      <c r="H587" s="97"/>
      <c r="I587" s="95"/>
      <c r="J587" s="95"/>
      <c r="K587" s="95"/>
      <c r="L587" s="95"/>
      <c r="M587" s="95"/>
      <c r="N587" s="95"/>
      <c r="O587" s="95"/>
      <c r="P587" s="95"/>
    </row>
    <row r="588" spans="1:76" s="81" customFormat="1" x14ac:dyDescent="0.25">
      <c r="A588" s="110"/>
      <c r="B588" s="95"/>
      <c r="C588" s="95"/>
      <c r="D588" s="76" t="s">
        <v>740</v>
      </c>
      <c r="E588" s="76" t="s">
        <v>54</v>
      </c>
      <c r="F588" s="95"/>
      <c r="G588" s="96">
        <v>2.79</v>
      </c>
      <c r="H588" s="97"/>
      <c r="I588" s="95"/>
      <c r="J588" s="95"/>
      <c r="K588" s="95"/>
      <c r="L588" s="95"/>
      <c r="M588" s="95"/>
      <c r="N588" s="95"/>
      <c r="O588" s="95"/>
      <c r="P588" s="95"/>
    </row>
    <row r="589" spans="1:76" s="81" customFormat="1" x14ac:dyDescent="0.25">
      <c r="A589" s="110"/>
      <c r="B589" s="95"/>
      <c r="C589" s="95"/>
      <c r="D589" s="76" t="s">
        <v>54</v>
      </c>
      <c r="E589" s="76" t="s">
        <v>701</v>
      </c>
      <c r="F589" s="95"/>
      <c r="G589" s="96">
        <v>0</v>
      </c>
      <c r="H589" s="97"/>
      <c r="I589" s="95"/>
      <c r="J589" s="95"/>
      <c r="K589" s="95"/>
      <c r="L589" s="95"/>
      <c r="M589" s="95"/>
      <c r="N589" s="95"/>
      <c r="O589" s="95"/>
      <c r="P589" s="95"/>
    </row>
    <row r="590" spans="1:76" s="81" customFormat="1" ht="25.5" x14ac:dyDescent="0.25">
      <c r="A590" s="110"/>
      <c r="B590" s="95"/>
      <c r="C590" s="95"/>
      <c r="D590" s="76" t="s">
        <v>741</v>
      </c>
      <c r="E590" s="76" t="s">
        <v>54</v>
      </c>
      <c r="F590" s="95"/>
      <c r="G590" s="96">
        <v>5.8386300000000002</v>
      </c>
      <c r="H590" s="97"/>
      <c r="I590" s="95"/>
      <c r="J590" s="95"/>
      <c r="K590" s="95"/>
      <c r="L590" s="95"/>
      <c r="M590" s="95"/>
      <c r="N590" s="95"/>
      <c r="O590" s="95"/>
      <c r="P590" s="95"/>
    </row>
    <row r="591" spans="1:76" s="81" customFormat="1" x14ac:dyDescent="0.25">
      <c r="A591" s="110"/>
      <c r="B591" s="95"/>
      <c r="C591" s="95"/>
      <c r="D591" s="76" t="s">
        <v>742</v>
      </c>
      <c r="E591" s="76" t="s">
        <v>54</v>
      </c>
      <c r="F591" s="95"/>
      <c r="G591" s="96">
        <v>2.9504299999999999</v>
      </c>
      <c r="H591" s="97"/>
      <c r="I591" s="95"/>
      <c r="J591" s="95"/>
      <c r="K591" s="95"/>
      <c r="L591" s="95"/>
      <c r="M591" s="95"/>
      <c r="N591" s="95"/>
      <c r="O591" s="95"/>
      <c r="P591" s="95"/>
    </row>
    <row r="592" spans="1:76" s="81" customFormat="1" x14ac:dyDescent="0.25">
      <c r="A592" s="110"/>
      <c r="B592" s="95"/>
      <c r="C592" s="95"/>
      <c r="D592" s="76" t="s">
        <v>743</v>
      </c>
      <c r="E592" s="76" t="s">
        <v>54</v>
      </c>
      <c r="F592" s="95"/>
      <c r="G592" s="96">
        <v>3.4348000000000001</v>
      </c>
      <c r="H592" s="97"/>
      <c r="I592" s="95"/>
      <c r="J592" s="95"/>
      <c r="K592" s="95"/>
      <c r="L592" s="95"/>
      <c r="M592" s="95"/>
      <c r="N592" s="95"/>
      <c r="O592" s="95"/>
      <c r="P592" s="95"/>
    </row>
    <row r="593" spans="1:16" s="81" customFormat="1" x14ac:dyDescent="0.25">
      <c r="A593" s="110"/>
      <c r="B593" s="95"/>
      <c r="C593" s="95"/>
      <c r="D593" s="76" t="s">
        <v>744</v>
      </c>
      <c r="E593" s="76" t="s">
        <v>54</v>
      </c>
      <c r="F593" s="95"/>
      <c r="G593" s="96">
        <v>3.5882999999999998</v>
      </c>
      <c r="H593" s="97"/>
      <c r="I593" s="95"/>
      <c r="J593" s="95"/>
      <c r="K593" s="95"/>
      <c r="L593" s="95"/>
      <c r="M593" s="95"/>
      <c r="N593" s="95"/>
      <c r="O593" s="95"/>
      <c r="P593" s="95"/>
    </row>
    <row r="594" spans="1:16" s="81" customFormat="1" x14ac:dyDescent="0.25">
      <c r="A594" s="110"/>
      <c r="B594" s="95"/>
      <c r="C594" s="95"/>
      <c r="D594" s="76" t="s">
        <v>745</v>
      </c>
      <c r="E594" s="76" t="s">
        <v>54</v>
      </c>
      <c r="F594" s="95"/>
      <c r="G594" s="96">
        <v>2.4893000000000001</v>
      </c>
      <c r="H594" s="97"/>
      <c r="I594" s="95"/>
      <c r="J594" s="95"/>
      <c r="K594" s="95"/>
      <c r="L594" s="95"/>
      <c r="M594" s="95"/>
      <c r="N594" s="95"/>
      <c r="O594" s="95"/>
      <c r="P594" s="95"/>
    </row>
    <row r="595" spans="1:16" s="81" customFormat="1" x14ac:dyDescent="0.25">
      <c r="A595" s="110"/>
      <c r="B595" s="95"/>
      <c r="C595" s="95"/>
      <c r="D595" s="76" t="s">
        <v>746</v>
      </c>
      <c r="E595" s="76" t="s">
        <v>708</v>
      </c>
      <c r="F595" s="95"/>
      <c r="G595" s="96">
        <v>21.98028</v>
      </c>
      <c r="H595" s="97"/>
      <c r="I595" s="95"/>
      <c r="J595" s="95"/>
      <c r="K595" s="95"/>
      <c r="L595" s="95"/>
      <c r="M595" s="95"/>
      <c r="N595" s="95"/>
      <c r="O595" s="95"/>
      <c r="P595" s="95"/>
    </row>
    <row r="596" spans="1:16" s="81" customFormat="1" x14ac:dyDescent="0.25">
      <c r="A596" s="110"/>
      <c r="B596" s="95"/>
      <c r="C596" s="95"/>
      <c r="D596" s="76" t="s">
        <v>747</v>
      </c>
      <c r="E596" s="76" t="s">
        <v>54</v>
      </c>
      <c r="F596" s="95"/>
      <c r="G596" s="96">
        <v>23.455549999999999</v>
      </c>
      <c r="H596" s="97"/>
      <c r="I596" s="95"/>
      <c r="J596" s="95"/>
      <c r="K596" s="95"/>
      <c r="L596" s="95"/>
      <c r="M596" s="95"/>
      <c r="N596" s="95"/>
      <c r="O596" s="95"/>
      <c r="P596" s="95"/>
    </row>
    <row r="597" spans="1:16" s="81" customFormat="1" x14ac:dyDescent="0.25">
      <c r="A597" s="110"/>
      <c r="B597" s="95"/>
      <c r="C597" s="95"/>
      <c r="D597" s="76" t="s">
        <v>748</v>
      </c>
      <c r="E597" s="76" t="s">
        <v>54</v>
      </c>
      <c r="F597" s="95"/>
      <c r="G597" s="96">
        <v>18.800249999999998</v>
      </c>
      <c r="H597" s="97"/>
      <c r="I597" s="95"/>
      <c r="J597" s="95"/>
      <c r="K597" s="95"/>
      <c r="L597" s="95"/>
      <c r="M597" s="95"/>
      <c r="N597" s="95"/>
      <c r="O597" s="95"/>
      <c r="P597" s="95"/>
    </row>
    <row r="598" spans="1:16" s="81" customFormat="1" x14ac:dyDescent="0.25">
      <c r="A598" s="110"/>
      <c r="B598" s="95"/>
      <c r="C598" s="95"/>
      <c r="D598" s="76" t="s">
        <v>749</v>
      </c>
      <c r="E598" s="76" t="s">
        <v>54</v>
      </c>
      <c r="F598" s="95"/>
      <c r="G598" s="96">
        <v>4.8315999999999999</v>
      </c>
      <c r="H598" s="97"/>
      <c r="I598" s="95"/>
      <c r="J598" s="95"/>
      <c r="K598" s="95"/>
      <c r="L598" s="95"/>
      <c r="M598" s="95"/>
      <c r="N598" s="95"/>
      <c r="O598" s="95"/>
      <c r="P598" s="95"/>
    </row>
    <row r="599" spans="1:16" s="81" customFormat="1" x14ac:dyDescent="0.25">
      <c r="A599" s="110"/>
      <c r="B599" s="95"/>
      <c r="C599" s="95"/>
      <c r="D599" s="76" t="s">
        <v>750</v>
      </c>
      <c r="E599" s="76" t="s">
        <v>54</v>
      </c>
      <c r="F599" s="95"/>
      <c r="G599" s="96">
        <v>6.1478999999999999</v>
      </c>
      <c r="H599" s="97"/>
      <c r="I599" s="95"/>
      <c r="J599" s="95"/>
      <c r="K599" s="95"/>
      <c r="L599" s="95"/>
      <c r="M599" s="95"/>
      <c r="N599" s="95"/>
      <c r="O599" s="95"/>
      <c r="P599" s="95"/>
    </row>
    <row r="600" spans="1:16" s="81" customFormat="1" x14ac:dyDescent="0.25">
      <c r="A600" s="110"/>
      <c r="B600" s="95"/>
      <c r="C600" s="95"/>
      <c r="D600" s="76" t="s">
        <v>751</v>
      </c>
      <c r="E600" s="76" t="s">
        <v>54</v>
      </c>
      <c r="F600" s="95"/>
      <c r="G600" s="96">
        <v>23.992699999999999</v>
      </c>
      <c r="H600" s="97"/>
      <c r="I600" s="95"/>
      <c r="J600" s="95"/>
      <c r="K600" s="95"/>
      <c r="L600" s="95"/>
      <c r="M600" s="95"/>
      <c r="N600" s="95"/>
      <c r="O600" s="95"/>
      <c r="P600" s="95"/>
    </row>
    <row r="601" spans="1:16" s="81" customFormat="1" x14ac:dyDescent="0.25">
      <c r="A601" s="110"/>
      <c r="B601" s="95"/>
      <c r="C601" s="95"/>
      <c r="D601" s="76" t="s">
        <v>752</v>
      </c>
      <c r="E601" s="76" t="s">
        <v>54</v>
      </c>
      <c r="F601" s="95"/>
      <c r="G601" s="96">
        <v>1.5690999999999999</v>
      </c>
      <c r="H601" s="97"/>
      <c r="I601" s="95"/>
      <c r="J601" s="95"/>
      <c r="K601" s="95"/>
      <c r="L601" s="95"/>
      <c r="M601" s="95"/>
      <c r="N601" s="95"/>
      <c r="O601" s="95"/>
      <c r="P601" s="95"/>
    </row>
    <row r="602" spans="1:16" s="81" customFormat="1" x14ac:dyDescent="0.25">
      <c r="A602" s="110"/>
      <c r="B602" s="95"/>
      <c r="C602" s="95"/>
      <c r="D602" s="76" t="s">
        <v>753</v>
      </c>
      <c r="E602" s="76" t="s">
        <v>54</v>
      </c>
      <c r="F602" s="95"/>
      <c r="G602" s="96">
        <v>1.387</v>
      </c>
      <c r="H602" s="97"/>
      <c r="I602" s="95"/>
      <c r="J602" s="95"/>
      <c r="K602" s="95"/>
      <c r="L602" s="95"/>
      <c r="M602" s="95"/>
      <c r="N602" s="95"/>
      <c r="O602" s="95"/>
      <c r="P602" s="95"/>
    </row>
    <row r="603" spans="1:16" s="81" customFormat="1" ht="25.5" x14ac:dyDescent="0.25">
      <c r="A603" s="110"/>
      <c r="B603" s="95"/>
      <c r="C603" s="95"/>
      <c r="D603" s="76" t="s">
        <v>754</v>
      </c>
      <c r="E603" s="76" t="s">
        <v>54</v>
      </c>
      <c r="F603" s="95"/>
      <c r="G603" s="96">
        <v>10.792920000000001</v>
      </c>
      <c r="H603" s="97"/>
      <c r="I603" s="95"/>
      <c r="J603" s="95"/>
      <c r="K603" s="95"/>
      <c r="L603" s="95"/>
      <c r="M603" s="95"/>
      <c r="N603" s="95"/>
      <c r="O603" s="95"/>
      <c r="P603" s="95"/>
    </row>
    <row r="604" spans="1:16" s="81" customFormat="1" x14ac:dyDescent="0.25">
      <c r="A604" s="110"/>
      <c r="B604" s="95"/>
      <c r="C604" s="95"/>
      <c r="D604" s="76" t="s">
        <v>755</v>
      </c>
      <c r="E604" s="76" t="s">
        <v>54</v>
      </c>
      <c r="F604" s="95"/>
      <c r="G604" s="96">
        <v>2.6536</v>
      </c>
      <c r="H604" s="97"/>
      <c r="I604" s="95"/>
      <c r="J604" s="95"/>
      <c r="K604" s="95"/>
      <c r="L604" s="95"/>
      <c r="M604" s="95"/>
      <c r="N604" s="95"/>
      <c r="O604" s="95"/>
      <c r="P604" s="95"/>
    </row>
    <row r="605" spans="1:16" s="81" customFormat="1" x14ac:dyDescent="0.25">
      <c r="A605" s="110"/>
      <c r="B605" s="95"/>
      <c r="C605" s="95"/>
      <c r="D605" s="76" t="s">
        <v>54</v>
      </c>
      <c r="E605" s="76" t="s">
        <v>716</v>
      </c>
      <c r="F605" s="95"/>
      <c r="G605" s="96">
        <v>0</v>
      </c>
      <c r="H605" s="97"/>
      <c r="I605" s="95"/>
      <c r="J605" s="95"/>
      <c r="K605" s="95"/>
      <c r="L605" s="95"/>
      <c r="M605" s="95"/>
      <c r="N605" s="95"/>
      <c r="O605" s="95"/>
      <c r="P605" s="95"/>
    </row>
    <row r="606" spans="1:16" s="81" customFormat="1" x14ac:dyDescent="0.25">
      <c r="A606" s="110"/>
      <c r="B606" s="95"/>
      <c r="C606" s="95"/>
      <c r="D606" s="76" t="s">
        <v>756</v>
      </c>
      <c r="E606" s="76" t="s">
        <v>722</v>
      </c>
      <c r="F606" s="95"/>
      <c r="G606" s="96">
        <v>19.259730000000001</v>
      </c>
      <c r="H606" s="97"/>
      <c r="I606" s="95"/>
      <c r="J606" s="95"/>
      <c r="K606" s="95"/>
      <c r="L606" s="95"/>
      <c r="M606" s="95"/>
      <c r="N606" s="95"/>
      <c r="O606" s="95"/>
      <c r="P606" s="95"/>
    </row>
    <row r="607" spans="1:16" s="81" customFormat="1" x14ac:dyDescent="0.25">
      <c r="A607" s="110"/>
      <c r="B607" s="95"/>
      <c r="C607" s="95"/>
      <c r="D607" s="76" t="s">
        <v>757</v>
      </c>
      <c r="E607" s="76" t="s">
        <v>54</v>
      </c>
      <c r="F607" s="95"/>
      <c r="G607" s="96">
        <v>9.2216199999999997</v>
      </c>
      <c r="H607" s="97"/>
      <c r="I607" s="95"/>
      <c r="J607" s="95"/>
      <c r="K607" s="95"/>
      <c r="L607" s="95"/>
      <c r="M607" s="95"/>
      <c r="N607" s="95"/>
      <c r="O607" s="95"/>
      <c r="P607" s="95"/>
    </row>
    <row r="608" spans="1:16" s="81" customFormat="1" ht="25.5" x14ac:dyDescent="0.25">
      <c r="A608" s="110"/>
      <c r="B608" s="95"/>
      <c r="C608" s="95"/>
      <c r="D608" s="76" t="s">
        <v>758</v>
      </c>
      <c r="E608" s="76" t="s">
        <v>54</v>
      </c>
      <c r="F608" s="95"/>
      <c r="G608" s="96">
        <v>9.3838699999999999</v>
      </c>
      <c r="H608" s="97"/>
      <c r="I608" s="95"/>
      <c r="J608" s="95"/>
      <c r="K608" s="95"/>
      <c r="L608" s="95"/>
      <c r="M608" s="95"/>
      <c r="N608" s="95"/>
      <c r="O608" s="95"/>
      <c r="P608" s="95"/>
    </row>
    <row r="609" spans="1:76" s="81" customFormat="1" x14ac:dyDescent="0.25">
      <c r="A609" s="110"/>
      <c r="B609" s="95"/>
      <c r="C609" s="95"/>
      <c r="D609" s="76" t="s">
        <v>759</v>
      </c>
      <c r="E609" s="76" t="s">
        <v>54</v>
      </c>
      <c r="F609" s="95"/>
      <c r="G609" s="96">
        <v>3.80375</v>
      </c>
      <c r="H609" s="97"/>
      <c r="I609" s="95"/>
      <c r="J609" s="95"/>
      <c r="K609" s="95"/>
      <c r="L609" s="95"/>
      <c r="M609" s="95"/>
      <c r="N609" s="95"/>
      <c r="O609" s="95"/>
      <c r="P609" s="95"/>
    </row>
    <row r="610" spans="1:76" s="81" customFormat="1" x14ac:dyDescent="0.25">
      <c r="A610" s="110"/>
      <c r="B610" s="95"/>
      <c r="C610" s="95"/>
      <c r="D610" s="76" t="s">
        <v>760</v>
      </c>
      <c r="E610" s="76" t="s">
        <v>54</v>
      </c>
      <c r="F610" s="95"/>
      <c r="G610" s="96">
        <v>11.127000000000001</v>
      </c>
      <c r="H610" s="97"/>
      <c r="I610" s="95"/>
      <c r="J610" s="95"/>
      <c r="K610" s="95"/>
      <c r="L610" s="95"/>
      <c r="M610" s="95"/>
      <c r="N610" s="95"/>
      <c r="O610" s="95"/>
      <c r="P610" s="95"/>
    </row>
    <row r="611" spans="1:76" s="81" customFormat="1" x14ac:dyDescent="0.25">
      <c r="A611" s="110"/>
      <c r="B611" s="95"/>
      <c r="C611" s="95"/>
      <c r="D611" s="76" t="s">
        <v>761</v>
      </c>
      <c r="E611" s="76" t="s">
        <v>729</v>
      </c>
      <c r="F611" s="95"/>
      <c r="G611" s="96">
        <v>4.6875</v>
      </c>
      <c r="H611" s="97"/>
      <c r="I611" s="95"/>
      <c r="J611" s="95"/>
      <c r="K611" s="95"/>
      <c r="L611" s="95"/>
      <c r="M611" s="95"/>
      <c r="N611" s="95"/>
      <c r="O611" s="95"/>
      <c r="P611" s="95"/>
    </row>
    <row r="612" spans="1:76" s="81" customFormat="1" x14ac:dyDescent="0.25">
      <c r="A612" s="110"/>
      <c r="B612" s="95"/>
      <c r="C612" s="95"/>
      <c r="D612" s="76" t="s">
        <v>762</v>
      </c>
      <c r="E612" s="76" t="s">
        <v>54</v>
      </c>
      <c r="F612" s="95"/>
      <c r="G612" s="96">
        <v>0.9</v>
      </c>
      <c r="H612" s="97"/>
      <c r="I612" s="95"/>
      <c r="J612" s="95"/>
      <c r="K612" s="95"/>
      <c r="L612" s="95"/>
      <c r="M612" s="95"/>
      <c r="N612" s="95"/>
      <c r="O612" s="95"/>
      <c r="P612" s="95"/>
    </row>
    <row r="613" spans="1:76" s="81" customFormat="1" x14ac:dyDescent="0.25">
      <c r="A613" s="110"/>
      <c r="B613" s="95"/>
      <c r="C613" s="95"/>
      <c r="D613" s="76" t="s">
        <v>763</v>
      </c>
      <c r="E613" s="76" t="s">
        <v>54</v>
      </c>
      <c r="F613" s="95"/>
      <c r="G613" s="96">
        <v>0.75</v>
      </c>
      <c r="H613" s="97"/>
      <c r="I613" s="95"/>
      <c r="J613" s="95"/>
      <c r="K613" s="95"/>
      <c r="L613" s="95"/>
      <c r="M613" s="95"/>
      <c r="N613" s="95"/>
      <c r="O613" s="95"/>
      <c r="P613" s="95"/>
    </row>
    <row r="614" spans="1:76" s="81" customFormat="1" x14ac:dyDescent="0.25">
      <c r="A614" s="110"/>
      <c r="B614" s="95"/>
      <c r="C614" s="95"/>
      <c r="D614" s="76" t="s">
        <v>764</v>
      </c>
      <c r="E614" s="76" t="s">
        <v>727</v>
      </c>
      <c r="F614" s="95"/>
      <c r="G614" s="96">
        <v>2.3719999999999999</v>
      </c>
      <c r="H614" s="97"/>
      <c r="I614" s="95"/>
      <c r="J614" s="95"/>
      <c r="K614" s="95"/>
      <c r="L614" s="95"/>
      <c r="M614" s="95"/>
      <c r="N614" s="95"/>
      <c r="O614" s="95"/>
      <c r="P614" s="95"/>
    </row>
    <row r="615" spans="1:76" s="81" customFormat="1" x14ac:dyDescent="0.25">
      <c r="A615" s="110"/>
      <c r="B615" s="95"/>
      <c r="C615" s="95"/>
      <c r="D615" s="76" t="s">
        <v>765</v>
      </c>
      <c r="E615" s="76" t="s">
        <v>54</v>
      </c>
      <c r="F615" s="95"/>
      <c r="G615" s="96">
        <v>0.98839999999999995</v>
      </c>
      <c r="H615" s="97"/>
      <c r="I615" s="95"/>
      <c r="J615" s="95"/>
      <c r="K615" s="95"/>
      <c r="L615" s="95"/>
      <c r="M615" s="95"/>
      <c r="N615" s="95"/>
      <c r="O615" s="95"/>
      <c r="P615" s="95"/>
    </row>
    <row r="616" spans="1:76" s="81" customFormat="1" x14ac:dyDescent="0.25">
      <c r="A616" s="110"/>
      <c r="B616" s="95"/>
      <c r="C616" s="95"/>
      <c r="D616" s="76" t="s">
        <v>766</v>
      </c>
      <c r="E616" s="76" t="s">
        <v>54</v>
      </c>
      <c r="F616" s="95"/>
      <c r="G616" s="96">
        <v>1.35</v>
      </c>
      <c r="H616" s="97"/>
      <c r="I616" s="95"/>
      <c r="J616" s="95"/>
      <c r="K616" s="95"/>
      <c r="L616" s="95"/>
      <c r="M616" s="95"/>
      <c r="N616" s="95"/>
      <c r="O616" s="95"/>
      <c r="P616" s="95"/>
    </row>
    <row r="617" spans="1:76" s="81" customFormat="1" x14ac:dyDescent="0.25">
      <c r="A617" s="110"/>
      <c r="B617" s="95"/>
      <c r="C617" s="95"/>
      <c r="D617" s="76" t="s">
        <v>767</v>
      </c>
      <c r="E617" s="76" t="s">
        <v>54</v>
      </c>
      <c r="F617" s="95"/>
      <c r="G617" s="96">
        <v>6.0514999999999999</v>
      </c>
      <c r="H617" s="97"/>
      <c r="I617" s="95"/>
      <c r="J617" s="95"/>
      <c r="K617" s="95"/>
      <c r="L617" s="95"/>
      <c r="M617" s="95"/>
      <c r="N617" s="95"/>
      <c r="O617" s="95"/>
      <c r="P617" s="95"/>
    </row>
    <row r="618" spans="1:76" s="81" customFormat="1" x14ac:dyDescent="0.25">
      <c r="A618" s="110"/>
      <c r="B618" s="95"/>
      <c r="C618" s="95"/>
      <c r="D618" s="76" t="s">
        <v>768</v>
      </c>
      <c r="E618" s="76" t="s">
        <v>54</v>
      </c>
      <c r="F618" s="95"/>
      <c r="G618" s="96">
        <v>18.118099999999998</v>
      </c>
      <c r="H618" s="97"/>
      <c r="I618" s="95"/>
      <c r="J618" s="95"/>
      <c r="K618" s="95"/>
      <c r="L618" s="95"/>
      <c r="M618" s="95"/>
      <c r="N618" s="95"/>
      <c r="O618" s="95"/>
      <c r="P618" s="95"/>
    </row>
    <row r="619" spans="1:76" s="81" customFormat="1" x14ac:dyDescent="0.25">
      <c r="A619" s="110"/>
      <c r="B619" s="95"/>
      <c r="C619" s="95"/>
      <c r="D619" s="76" t="s">
        <v>769</v>
      </c>
      <c r="E619" s="76" t="s">
        <v>54</v>
      </c>
      <c r="F619" s="95"/>
      <c r="G619" s="96">
        <v>8.7125000000000004</v>
      </c>
      <c r="H619" s="97"/>
      <c r="I619" s="95"/>
      <c r="J619" s="95"/>
      <c r="K619" s="95"/>
      <c r="L619" s="95"/>
      <c r="M619" s="95"/>
      <c r="N619" s="95"/>
      <c r="O619" s="95"/>
      <c r="P619" s="95"/>
    </row>
    <row r="620" spans="1:76" s="81" customFormat="1" x14ac:dyDescent="0.25">
      <c r="A620" s="110"/>
      <c r="B620" s="95"/>
      <c r="C620" s="95"/>
      <c r="D620" s="76" t="s">
        <v>54</v>
      </c>
      <c r="E620" s="76" t="s">
        <v>719</v>
      </c>
      <c r="F620" s="95"/>
      <c r="G620" s="96">
        <v>0</v>
      </c>
      <c r="H620" s="97"/>
      <c r="I620" s="95"/>
      <c r="J620" s="95"/>
      <c r="K620" s="95"/>
      <c r="L620" s="95"/>
      <c r="M620" s="95"/>
      <c r="N620" s="95"/>
      <c r="O620" s="95"/>
      <c r="P620" s="95"/>
    </row>
    <row r="621" spans="1:76" s="81" customFormat="1" x14ac:dyDescent="0.25">
      <c r="A621" s="110"/>
      <c r="B621" s="95"/>
      <c r="C621" s="95"/>
      <c r="D621" s="76" t="s">
        <v>54</v>
      </c>
      <c r="E621" s="76" t="s">
        <v>723</v>
      </c>
      <c r="F621" s="95"/>
      <c r="G621" s="96">
        <v>0</v>
      </c>
      <c r="H621" s="97"/>
      <c r="I621" s="95"/>
      <c r="J621" s="95"/>
      <c r="K621" s="95"/>
      <c r="L621" s="95"/>
      <c r="M621" s="95"/>
      <c r="N621" s="95"/>
      <c r="O621" s="95"/>
      <c r="P621" s="95"/>
    </row>
    <row r="622" spans="1:76" s="81" customFormat="1" x14ac:dyDescent="0.25">
      <c r="A622" s="110"/>
      <c r="B622" s="95"/>
      <c r="C622" s="95"/>
      <c r="D622" s="76" t="s">
        <v>770</v>
      </c>
      <c r="E622" s="76" t="s">
        <v>54</v>
      </c>
      <c r="F622" s="95"/>
      <c r="G622" s="96">
        <v>4.2750000000000004</v>
      </c>
      <c r="H622" s="97"/>
      <c r="I622" s="95"/>
      <c r="J622" s="95"/>
      <c r="K622" s="95"/>
      <c r="L622" s="95"/>
      <c r="M622" s="95"/>
      <c r="N622" s="95"/>
      <c r="O622" s="95"/>
      <c r="P622" s="95"/>
    </row>
    <row r="623" spans="1:76" s="81" customFormat="1" x14ac:dyDescent="0.25">
      <c r="A623" s="66" t="s">
        <v>771</v>
      </c>
      <c r="B623" s="72" t="s">
        <v>55</v>
      </c>
      <c r="C623" s="72" t="s">
        <v>772</v>
      </c>
      <c r="D623" s="174" t="s">
        <v>773</v>
      </c>
      <c r="E623" s="174"/>
      <c r="F623" s="72" t="s">
        <v>192</v>
      </c>
      <c r="G623" s="90">
        <v>238.94233</v>
      </c>
      <c r="H623" s="91"/>
      <c r="I623" s="92" t="s">
        <v>63</v>
      </c>
      <c r="J623" s="90">
        <f>G623*AO623</f>
        <v>0</v>
      </c>
      <c r="K623" s="90">
        <f>G623*AP623</f>
        <v>0</v>
      </c>
      <c r="L623" s="90">
        <f>G623*H623</f>
        <v>0</v>
      </c>
      <c r="M623" s="90">
        <f>L623*(1+BW623/100)</f>
        <v>0</v>
      </c>
      <c r="N623" s="90">
        <v>0</v>
      </c>
      <c r="O623" s="90">
        <f>G623*N623</f>
        <v>0</v>
      </c>
      <c r="P623" s="92" t="s">
        <v>64</v>
      </c>
      <c r="Z623" s="93">
        <f>IF(AQ623="5",BJ623,0)</f>
        <v>0</v>
      </c>
      <c r="AB623" s="93">
        <f>IF(AQ623="1",BH623,0)</f>
        <v>0</v>
      </c>
      <c r="AC623" s="93">
        <f>IF(AQ623="1",BI623,0)</f>
        <v>0</v>
      </c>
      <c r="AD623" s="93">
        <f>IF(AQ623="7",BH623,0)</f>
        <v>0</v>
      </c>
      <c r="AE623" s="93">
        <f>IF(AQ623="7",BI623,0)</f>
        <v>0</v>
      </c>
      <c r="AF623" s="93">
        <f>IF(AQ623="2",BH623,0)</f>
        <v>0</v>
      </c>
      <c r="AG623" s="93">
        <f>IF(AQ623="2",BI623,0)</f>
        <v>0</v>
      </c>
      <c r="AH623" s="93">
        <f>IF(AQ623="0",BJ623,0)</f>
        <v>0</v>
      </c>
      <c r="AI623" s="88" t="s">
        <v>55</v>
      </c>
      <c r="AJ623" s="93">
        <f>IF(AN623=0,L623,0)</f>
        <v>0</v>
      </c>
      <c r="AK623" s="93">
        <f>IF(AN623=12,L623,0)</f>
        <v>0</v>
      </c>
      <c r="AL623" s="93">
        <f>IF(AN623=21,L623,0)</f>
        <v>0</v>
      </c>
      <c r="AN623" s="93">
        <v>21</v>
      </c>
      <c r="AO623" s="93">
        <f>H623*0</f>
        <v>0</v>
      </c>
      <c r="AP623" s="93">
        <f>H623*(1-0)</f>
        <v>0</v>
      </c>
      <c r="AQ623" s="94" t="s">
        <v>59</v>
      </c>
      <c r="AV623" s="93">
        <f>AW623+AX623</f>
        <v>0</v>
      </c>
      <c r="AW623" s="93">
        <f>G623*AO623</f>
        <v>0</v>
      </c>
      <c r="AX623" s="93">
        <f>G623*AP623</f>
        <v>0</v>
      </c>
      <c r="AY623" s="94" t="s">
        <v>604</v>
      </c>
      <c r="AZ623" s="94" t="s">
        <v>605</v>
      </c>
      <c r="BA623" s="88" t="s">
        <v>67</v>
      </c>
      <c r="BC623" s="93">
        <f>AW623+AX623</f>
        <v>0</v>
      </c>
      <c r="BD623" s="93">
        <f>H623/(100-BE623)*100</f>
        <v>0</v>
      </c>
      <c r="BE623" s="93">
        <v>0</v>
      </c>
      <c r="BF623" s="93">
        <f>O623</f>
        <v>0</v>
      </c>
      <c r="BH623" s="93">
        <f>G623*AO623</f>
        <v>0</v>
      </c>
      <c r="BI623" s="93">
        <f>G623*AP623</f>
        <v>0</v>
      </c>
      <c r="BJ623" s="93">
        <f>G623*H623</f>
        <v>0</v>
      </c>
      <c r="BK623" s="93"/>
      <c r="BL623" s="93">
        <v>41</v>
      </c>
      <c r="BW623" s="93" t="str">
        <f>I623</f>
        <v>21</v>
      </c>
      <c r="BX623" s="2" t="s">
        <v>773</v>
      </c>
    </row>
    <row r="624" spans="1:76" s="81" customFormat="1" x14ac:dyDescent="0.25">
      <c r="A624" s="66" t="s">
        <v>774</v>
      </c>
      <c r="B624" s="72" t="s">
        <v>55</v>
      </c>
      <c r="C624" s="72" t="s">
        <v>775</v>
      </c>
      <c r="D624" s="174" t="s">
        <v>776</v>
      </c>
      <c r="E624" s="174"/>
      <c r="F624" s="72" t="s">
        <v>222</v>
      </c>
      <c r="G624" s="90">
        <v>3.0269999999999998E-2</v>
      </c>
      <c r="H624" s="91"/>
      <c r="I624" s="92" t="s">
        <v>63</v>
      </c>
      <c r="J624" s="90">
        <f>G624*AO624</f>
        <v>0</v>
      </c>
      <c r="K624" s="90">
        <f>G624*AP624</f>
        <v>0</v>
      </c>
      <c r="L624" s="90">
        <f>G624*H624</f>
        <v>0</v>
      </c>
      <c r="M624" s="90">
        <f>L624*(1+BW624/100)</f>
        <v>0</v>
      </c>
      <c r="N624" s="90">
        <v>1.05714</v>
      </c>
      <c r="O624" s="90">
        <f>G624*N624</f>
        <v>3.19996278E-2</v>
      </c>
      <c r="P624" s="92" t="s">
        <v>64</v>
      </c>
      <c r="Z624" s="93">
        <f>IF(AQ624="5",BJ624,0)</f>
        <v>0</v>
      </c>
      <c r="AB624" s="93">
        <f>IF(AQ624="1",BH624,0)</f>
        <v>0</v>
      </c>
      <c r="AC624" s="93">
        <f>IF(AQ624="1",BI624,0)</f>
        <v>0</v>
      </c>
      <c r="AD624" s="93">
        <f>IF(AQ624="7",BH624,0)</f>
        <v>0</v>
      </c>
      <c r="AE624" s="93">
        <f>IF(AQ624="7",BI624,0)</f>
        <v>0</v>
      </c>
      <c r="AF624" s="93">
        <f>IF(AQ624="2",BH624,0)</f>
        <v>0</v>
      </c>
      <c r="AG624" s="93">
        <f>IF(AQ624="2",BI624,0)</f>
        <v>0</v>
      </c>
      <c r="AH624" s="93">
        <f>IF(AQ624="0",BJ624,0)</f>
        <v>0</v>
      </c>
      <c r="AI624" s="88" t="s">
        <v>55</v>
      </c>
      <c r="AJ624" s="93">
        <f>IF(AN624=0,L624,0)</f>
        <v>0</v>
      </c>
      <c r="AK624" s="93">
        <f>IF(AN624=12,L624,0)</f>
        <v>0</v>
      </c>
      <c r="AL624" s="93">
        <f>IF(AN624=21,L624,0)</f>
        <v>0</v>
      </c>
      <c r="AN624" s="93">
        <v>21</v>
      </c>
      <c r="AO624" s="93">
        <f>H624*0.775134946</f>
        <v>0</v>
      </c>
      <c r="AP624" s="93">
        <f>H624*(1-0.775134946)</f>
        <v>0</v>
      </c>
      <c r="AQ624" s="94" t="s">
        <v>59</v>
      </c>
      <c r="AV624" s="93">
        <f>AW624+AX624</f>
        <v>0</v>
      </c>
      <c r="AW624" s="93">
        <f>G624*AO624</f>
        <v>0</v>
      </c>
      <c r="AX624" s="93">
        <f>G624*AP624</f>
        <v>0</v>
      </c>
      <c r="AY624" s="94" t="s">
        <v>604</v>
      </c>
      <c r="AZ624" s="94" t="s">
        <v>605</v>
      </c>
      <c r="BA624" s="88" t="s">
        <v>67</v>
      </c>
      <c r="BC624" s="93">
        <f>AW624+AX624</f>
        <v>0</v>
      </c>
      <c r="BD624" s="93">
        <f>H624/(100-BE624)*100</f>
        <v>0</v>
      </c>
      <c r="BE624" s="93">
        <v>0</v>
      </c>
      <c r="BF624" s="93">
        <f>O624</f>
        <v>3.19996278E-2</v>
      </c>
      <c r="BH624" s="93">
        <f>G624*AO624</f>
        <v>0</v>
      </c>
      <c r="BI624" s="93">
        <f>G624*AP624</f>
        <v>0</v>
      </c>
      <c r="BJ624" s="93">
        <f>G624*H624</f>
        <v>0</v>
      </c>
      <c r="BK624" s="93"/>
      <c r="BL624" s="93">
        <v>41</v>
      </c>
      <c r="BW624" s="93" t="str">
        <f>I624</f>
        <v>21</v>
      </c>
      <c r="BX624" s="2" t="s">
        <v>776</v>
      </c>
    </row>
    <row r="625" spans="1:76" s="81" customFormat="1" ht="25.5" x14ac:dyDescent="0.25">
      <c r="A625" s="110"/>
      <c r="B625" s="95"/>
      <c r="C625" s="95"/>
      <c r="D625" s="76" t="s">
        <v>54</v>
      </c>
      <c r="E625" s="76" t="s">
        <v>697</v>
      </c>
      <c r="F625" s="95"/>
      <c r="G625" s="96">
        <v>0</v>
      </c>
      <c r="H625" s="97"/>
      <c r="I625" s="95"/>
      <c r="J625" s="95"/>
      <c r="K625" s="95"/>
      <c r="L625" s="95"/>
      <c r="M625" s="95"/>
      <c r="N625" s="95"/>
      <c r="O625" s="95"/>
      <c r="P625" s="95"/>
    </row>
    <row r="626" spans="1:76" s="81" customFormat="1" x14ac:dyDescent="0.25">
      <c r="A626" s="110"/>
      <c r="B626" s="95"/>
      <c r="C626" s="95"/>
      <c r="D626" s="76" t="s">
        <v>777</v>
      </c>
      <c r="E626" s="76" t="s">
        <v>778</v>
      </c>
      <c r="F626" s="95"/>
      <c r="G626" s="96">
        <v>9.2999999999999992E-3</v>
      </c>
      <c r="H626" s="97"/>
      <c r="I626" s="95"/>
      <c r="J626" s="95"/>
      <c r="K626" s="95"/>
      <c r="L626" s="95"/>
      <c r="M626" s="95"/>
      <c r="N626" s="95"/>
      <c r="O626" s="95"/>
      <c r="P626" s="95"/>
    </row>
    <row r="627" spans="1:76" s="81" customFormat="1" ht="25.5" x14ac:dyDescent="0.25">
      <c r="A627" s="110"/>
      <c r="B627" s="95"/>
      <c r="C627" s="95"/>
      <c r="D627" s="76" t="s">
        <v>54</v>
      </c>
      <c r="E627" s="76" t="s">
        <v>699</v>
      </c>
      <c r="F627" s="95"/>
      <c r="G627" s="96">
        <v>0</v>
      </c>
      <c r="H627" s="97"/>
      <c r="I627" s="95"/>
      <c r="J627" s="95"/>
      <c r="K627" s="95"/>
      <c r="L627" s="95"/>
      <c r="M627" s="95"/>
      <c r="N627" s="95"/>
      <c r="O627" s="95"/>
      <c r="P627" s="95"/>
    </row>
    <row r="628" spans="1:76" s="81" customFormat="1" x14ac:dyDescent="0.25">
      <c r="A628" s="110"/>
      <c r="B628" s="95"/>
      <c r="C628" s="95"/>
      <c r="D628" s="76" t="s">
        <v>779</v>
      </c>
      <c r="E628" s="76" t="s">
        <v>780</v>
      </c>
      <c r="F628" s="95"/>
      <c r="G628" s="96">
        <v>2.0969999999999999E-2</v>
      </c>
      <c r="H628" s="97"/>
      <c r="I628" s="95"/>
      <c r="J628" s="95"/>
      <c r="K628" s="95"/>
      <c r="L628" s="95"/>
      <c r="M628" s="95"/>
      <c r="N628" s="95"/>
      <c r="O628" s="95"/>
      <c r="P628" s="95"/>
    </row>
    <row r="629" spans="1:76" s="81" customFormat="1" x14ac:dyDescent="0.25">
      <c r="A629" s="66" t="s">
        <v>781</v>
      </c>
      <c r="B629" s="72" t="s">
        <v>55</v>
      </c>
      <c r="C629" s="72" t="s">
        <v>782</v>
      </c>
      <c r="D629" s="174" t="s">
        <v>783</v>
      </c>
      <c r="E629" s="174"/>
      <c r="F629" s="72" t="s">
        <v>192</v>
      </c>
      <c r="G629" s="90">
        <v>28.22991</v>
      </c>
      <c r="H629" s="91"/>
      <c r="I629" s="92" t="s">
        <v>63</v>
      </c>
      <c r="J629" s="90">
        <f>G629*AO629</f>
        <v>0</v>
      </c>
      <c r="K629" s="90">
        <f>G629*AP629</f>
        <v>0</v>
      </c>
      <c r="L629" s="90">
        <f>G629*H629</f>
        <v>0</v>
      </c>
      <c r="M629" s="90">
        <f>L629*(1+BW629/100)</f>
        <v>0</v>
      </c>
      <c r="N629" s="90">
        <v>6.3299999999999997E-3</v>
      </c>
      <c r="O629" s="90">
        <f>G629*N629</f>
        <v>0.17869533029999998</v>
      </c>
      <c r="P629" s="92" t="s">
        <v>64</v>
      </c>
      <c r="Z629" s="93">
        <f>IF(AQ629="5",BJ629,0)</f>
        <v>0</v>
      </c>
      <c r="AB629" s="93">
        <f>IF(AQ629="1",BH629,0)</f>
        <v>0</v>
      </c>
      <c r="AC629" s="93">
        <f>IF(AQ629="1",BI629,0)</f>
        <v>0</v>
      </c>
      <c r="AD629" s="93">
        <f>IF(AQ629="7",BH629,0)</f>
        <v>0</v>
      </c>
      <c r="AE629" s="93">
        <f>IF(AQ629="7",BI629,0)</f>
        <v>0</v>
      </c>
      <c r="AF629" s="93">
        <f>IF(AQ629="2",BH629,0)</f>
        <v>0</v>
      </c>
      <c r="AG629" s="93">
        <f>IF(AQ629="2",BI629,0)</f>
        <v>0</v>
      </c>
      <c r="AH629" s="93">
        <f>IF(AQ629="0",BJ629,0)</f>
        <v>0</v>
      </c>
      <c r="AI629" s="88" t="s">
        <v>55</v>
      </c>
      <c r="AJ629" s="93">
        <f>IF(AN629=0,L629,0)</f>
        <v>0</v>
      </c>
      <c r="AK629" s="93">
        <f>IF(AN629=12,L629,0)</f>
        <v>0</v>
      </c>
      <c r="AL629" s="93">
        <f>IF(AN629=21,L629,0)</f>
        <v>0</v>
      </c>
      <c r="AN629" s="93">
        <v>21</v>
      </c>
      <c r="AO629" s="93">
        <f>H629*0.097035278</f>
        <v>0</v>
      </c>
      <c r="AP629" s="93">
        <f>H629*(1-0.097035278)</f>
        <v>0</v>
      </c>
      <c r="AQ629" s="94" t="s">
        <v>59</v>
      </c>
      <c r="AV629" s="93">
        <f>AW629+AX629</f>
        <v>0</v>
      </c>
      <c r="AW629" s="93">
        <f>G629*AO629</f>
        <v>0</v>
      </c>
      <c r="AX629" s="93">
        <f>G629*AP629</f>
        <v>0</v>
      </c>
      <c r="AY629" s="94" t="s">
        <v>604</v>
      </c>
      <c r="AZ629" s="94" t="s">
        <v>605</v>
      </c>
      <c r="BA629" s="88" t="s">
        <v>67</v>
      </c>
      <c r="BC629" s="93">
        <f>AW629+AX629</f>
        <v>0</v>
      </c>
      <c r="BD629" s="93">
        <f>H629/(100-BE629)*100</f>
        <v>0</v>
      </c>
      <c r="BE629" s="93">
        <v>0</v>
      </c>
      <c r="BF629" s="93">
        <f>O629</f>
        <v>0.17869533029999998</v>
      </c>
      <c r="BH629" s="93">
        <f>G629*AO629</f>
        <v>0</v>
      </c>
      <c r="BI629" s="93">
        <f>G629*AP629</f>
        <v>0</v>
      </c>
      <c r="BJ629" s="93">
        <f>G629*H629</f>
        <v>0</v>
      </c>
      <c r="BK629" s="93"/>
      <c r="BL629" s="93">
        <v>41</v>
      </c>
      <c r="BW629" s="93" t="str">
        <f>I629</f>
        <v>21</v>
      </c>
      <c r="BX629" s="2" t="s">
        <v>783</v>
      </c>
    </row>
    <row r="630" spans="1:76" s="81" customFormat="1" x14ac:dyDescent="0.25">
      <c r="A630" s="110"/>
      <c r="B630" s="95"/>
      <c r="C630" s="95"/>
      <c r="D630" s="76" t="s">
        <v>54</v>
      </c>
      <c r="E630" s="76" t="s">
        <v>784</v>
      </c>
      <c r="F630" s="95"/>
      <c r="G630" s="96">
        <v>0</v>
      </c>
      <c r="H630" s="97"/>
      <c r="I630" s="95"/>
      <c r="J630" s="95"/>
      <c r="K630" s="95"/>
      <c r="L630" s="95"/>
      <c r="M630" s="95"/>
      <c r="N630" s="95"/>
      <c r="O630" s="95"/>
      <c r="P630" s="95"/>
    </row>
    <row r="631" spans="1:76" s="81" customFormat="1" x14ac:dyDescent="0.25">
      <c r="A631" s="110"/>
      <c r="B631" s="95"/>
      <c r="C631" s="95"/>
      <c r="D631" s="76" t="s">
        <v>54</v>
      </c>
      <c r="E631" s="76" t="s">
        <v>785</v>
      </c>
      <c r="F631" s="95"/>
      <c r="G631" s="96">
        <v>0</v>
      </c>
      <c r="H631" s="97"/>
      <c r="I631" s="95"/>
      <c r="J631" s="95"/>
      <c r="K631" s="95"/>
      <c r="L631" s="95"/>
      <c r="M631" s="95"/>
      <c r="N631" s="95"/>
      <c r="O631" s="95"/>
      <c r="P631" s="95"/>
    </row>
    <row r="632" spans="1:76" s="81" customFormat="1" x14ac:dyDescent="0.25">
      <c r="A632" s="110"/>
      <c r="B632" s="95"/>
      <c r="C632" s="95"/>
      <c r="D632" s="76" t="s">
        <v>786</v>
      </c>
      <c r="E632" s="76" t="s">
        <v>54</v>
      </c>
      <c r="F632" s="95"/>
      <c r="G632" s="96">
        <v>3.11782</v>
      </c>
      <c r="H632" s="97"/>
      <c r="I632" s="95"/>
      <c r="J632" s="95"/>
      <c r="K632" s="95"/>
      <c r="L632" s="95"/>
      <c r="M632" s="95"/>
      <c r="N632" s="95"/>
      <c r="O632" s="95"/>
      <c r="P632" s="95"/>
    </row>
    <row r="633" spans="1:76" s="81" customFormat="1" x14ac:dyDescent="0.25">
      <c r="A633" s="110"/>
      <c r="B633" s="95"/>
      <c r="C633" s="95"/>
      <c r="D633" s="76" t="s">
        <v>54</v>
      </c>
      <c r="E633" s="76" t="s">
        <v>787</v>
      </c>
      <c r="F633" s="95"/>
      <c r="G633" s="96">
        <v>0</v>
      </c>
      <c r="H633" s="97"/>
      <c r="I633" s="95"/>
      <c r="J633" s="95"/>
      <c r="K633" s="95"/>
      <c r="L633" s="95"/>
      <c r="M633" s="95"/>
      <c r="N633" s="95"/>
      <c r="O633" s="95"/>
      <c r="P633" s="95"/>
    </row>
    <row r="634" spans="1:76" s="81" customFormat="1" x14ac:dyDescent="0.25">
      <c r="A634" s="110"/>
      <c r="B634" s="95"/>
      <c r="C634" s="95"/>
      <c r="D634" s="76" t="s">
        <v>788</v>
      </c>
      <c r="E634" s="76" t="s">
        <v>54</v>
      </c>
      <c r="F634" s="95"/>
      <c r="G634" s="96">
        <v>3.5613700000000001</v>
      </c>
      <c r="H634" s="97"/>
      <c r="I634" s="95"/>
      <c r="J634" s="95"/>
      <c r="K634" s="95"/>
      <c r="L634" s="95"/>
      <c r="M634" s="95"/>
      <c r="N634" s="95"/>
      <c r="O634" s="95"/>
      <c r="P634" s="95"/>
    </row>
    <row r="635" spans="1:76" s="81" customFormat="1" x14ac:dyDescent="0.25">
      <c r="A635" s="110"/>
      <c r="B635" s="95"/>
      <c r="C635" s="95"/>
      <c r="D635" s="76" t="s">
        <v>789</v>
      </c>
      <c r="E635" s="76" t="s">
        <v>54</v>
      </c>
      <c r="F635" s="95"/>
      <c r="G635" s="96">
        <v>5.343</v>
      </c>
      <c r="H635" s="97"/>
      <c r="I635" s="95"/>
      <c r="J635" s="95"/>
      <c r="K635" s="95"/>
      <c r="L635" s="95"/>
      <c r="M635" s="95"/>
      <c r="N635" s="95"/>
      <c r="O635" s="95"/>
      <c r="P635" s="95"/>
    </row>
    <row r="636" spans="1:76" s="81" customFormat="1" x14ac:dyDescent="0.25">
      <c r="A636" s="110"/>
      <c r="B636" s="95"/>
      <c r="C636" s="95"/>
      <c r="D636" s="76" t="s">
        <v>790</v>
      </c>
      <c r="E636" s="76" t="s">
        <v>54</v>
      </c>
      <c r="F636" s="95"/>
      <c r="G636" s="96">
        <v>4.0278</v>
      </c>
      <c r="H636" s="97"/>
      <c r="I636" s="95"/>
      <c r="J636" s="95"/>
      <c r="K636" s="95"/>
      <c r="L636" s="95"/>
      <c r="M636" s="95"/>
      <c r="N636" s="95"/>
      <c r="O636" s="95"/>
      <c r="P636" s="95"/>
    </row>
    <row r="637" spans="1:76" s="81" customFormat="1" x14ac:dyDescent="0.25">
      <c r="A637" s="110"/>
      <c r="B637" s="95"/>
      <c r="C637" s="95"/>
      <c r="D637" s="76" t="s">
        <v>753</v>
      </c>
      <c r="E637" s="76" t="s">
        <v>54</v>
      </c>
      <c r="F637" s="95"/>
      <c r="G637" s="96">
        <v>1.387</v>
      </c>
      <c r="H637" s="97"/>
      <c r="I637" s="95"/>
      <c r="J637" s="95"/>
      <c r="K637" s="95"/>
      <c r="L637" s="95"/>
      <c r="M637" s="95"/>
      <c r="N637" s="95"/>
      <c r="O637" s="95"/>
      <c r="P637" s="95"/>
    </row>
    <row r="638" spans="1:76" s="81" customFormat="1" ht="25.5" x14ac:dyDescent="0.25">
      <c r="A638" s="110"/>
      <c r="B638" s="95"/>
      <c r="C638" s="95"/>
      <c r="D638" s="76" t="s">
        <v>754</v>
      </c>
      <c r="E638" s="76" t="s">
        <v>54</v>
      </c>
      <c r="F638" s="95"/>
      <c r="G638" s="96">
        <v>10.792920000000001</v>
      </c>
      <c r="H638" s="97"/>
      <c r="I638" s="95"/>
      <c r="J638" s="95"/>
      <c r="K638" s="95"/>
      <c r="L638" s="95"/>
      <c r="M638" s="95"/>
      <c r="N638" s="95"/>
      <c r="O638" s="95"/>
      <c r="P638" s="95"/>
    </row>
    <row r="639" spans="1:76" s="81" customFormat="1" x14ac:dyDescent="0.25">
      <c r="A639" s="66" t="s">
        <v>791</v>
      </c>
      <c r="B639" s="72" t="s">
        <v>55</v>
      </c>
      <c r="C639" s="72" t="s">
        <v>792</v>
      </c>
      <c r="D639" s="174" t="s">
        <v>793</v>
      </c>
      <c r="E639" s="174"/>
      <c r="F639" s="72" t="s">
        <v>192</v>
      </c>
      <c r="G639" s="90">
        <v>16.207719999999998</v>
      </c>
      <c r="H639" s="91"/>
      <c r="I639" s="92" t="s">
        <v>63</v>
      </c>
      <c r="J639" s="90">
        <f>G639*AO639</f>
        <v>0</v>
      </c>
      <c r="K639" s="90">
        <f>G639*AP639</f>
        <v>0</v>
      </c>
      <c r="L639" s="90">
        <f>G639*H639</f>
        <v>0</v>
      </c>
      <c r="M639" s="90">
        <f>L639*(1+BW639/100)</f>
        <v>0</v>
      </c>
      <c r="N639" s="90">
        <v>0</v>
      </c>
      <c r="O639" s="90">
        <f>G639*N639</f>
        <v>0</v>
      </c>
      <c r="P639" s="92" t="s">
        <v>64</v>
      </c>
      <c r="Z639" s="93">
        <f>IF(AQ639="5",BJ639,0)</f>
        <v>0</v>
      </c>
      <c r="AB639" s="93">
        <f>IF(AQ639="1",BH639,0)</f>
        <v>0</v>
      </c>
      <c r="AC639" s="93">
        <f>IF(AQ639="1",BI639,0)</f>
        <v>0</v>
      </c>
      <c r="AD639" s="93">
        <f>IF(AQ639="7",BH639,0)</f>
        <v>0</v>
      </c>
      <c r="AE639" s="93">
        <f>IF(AQ639="7",BI639,0)</f>
        <v>0</v>
      </c>
      <c r="AF639" s="93">
        <f>IF(AQ639="2",BH639,0)</f>
        <v>0</v>
      </c>
      <c r="AG639" s="93">
        <f>IF(AQ639="2",BI639,0)</f>
        <v>0</v>
      </c>
      <c r="AH639" s="93">
        <f>IF(AQ639="0",BJ639,0)</f>
        <v>0</v>
      </c>
      <c r="AI639" s="88" t="s">
        <v>55</v>
      </c>
      <c r="AJ639" s="93">
        <f>IF(AN639=0,L639,0)</f>
        <v>0</v>
      </c>
      <c r="AK639" s="93">
        <f>IF(AN639=12,L639,0)</f>
        <v>0</v>
      </c>
      <c r="AL639" s="93">
        <f>IF(AN639=21,L639,0)</f>
        <v>0</v>
      </c>
      <c r="AN639" s="93">
        <v>21</v>
      </c>
      <c r="AO639" s="93">
        <f>H639*0</f>
        <v>0</v>
      </c>
      <c r="AP639" s="93">
        <f>H639*(1-0)</f>
        <v>0</v>
      </c>
      <c r="AQ639" s="94" t="s">
        <v>59</v>
      </c>
      <c r="AV639" s="93">
        <f>AW639+AX639</f>
        <v>0</v>
      </c>
      <c r="AW639" s="93">
        <f>G639*AO639</f>
        <v>0</v>
      </c>
      <c r="AX639" s="93">
        <f>G639*AP639</f>
        <v>0</v>
      </c>
      <c r="AY639" s="94" t="s">
        <v>604</v>
      </c>
      <c r="AZ639" s="94" t="s">
        <v>605</v>
      </c>
      <c r="BA639" s="88" t="s">
        <v>67</v>
      </c>
      <c r="BC639" s="93">
        <f>AW639+AX639</f>
        <v>0</v>
      </c>
      <c r="BD639" s="93">
        <f>H639/(100-BE639)*100</f>
        <v>0</v>
      </c>
      <c r="BE639" s="93">
        <v>0</v>
      </c>
      <c r="BF639" s="93">
        <f>O639</f>
        <v>0</v>
      </c>
      <c r="BH639" s="93">
        <f>G639*AO639</f>
        <v>0</v>
      </c>
      <c r="BI639" s="93">
        <f>G639*AP639</f>
        <v>0</v>
      </c>
      <c r="BJ639" s="93">
        <f>G639*H639</f>
        <v>0</v>
      </c>
      <c r="BK639" s="93"/>
      <c r="BL639" s="93">
        <v>41</v>
      </c>
      <c r="BW639" s="93" t="str">
        <f>I639</f>
        <v>21</v>
      </c>
      <c r="BX639" s="2" t="s">
        <v>793</v>
      </c>
    </row>
    <row r="640" spans="1:76" s="81" customFormat="1" x14ac:dyDescent="0.25">
      <c r="A640" s="66" t="s">
        <v>794</v>
      </c>
      <c r="B640" s="72" t="s">
        <v>55</v>
      </c>
      <c r="C640" s="72" t="s">
        <v>795</v>
      </c>
      <c r="D640" s="174" t="s">
        <v>796</v>
      </c>
      <c r="E640" s="174"/>
      <c r="F640" s="72" t="s">
        <v>192</v>
      </c>
      <c r="G640" s="90">
        <v>203.2921</v>
      </c>
      <c r="H640" s="91"/>
      <c r="I640" s="92" t="s">
        <v>63</v>
      </c>
      <c r="J640" s="90">
        <f>G640*AO640</f>
        <v>0</v>
      </c>
      <c r="K640" s="90">
        <f>G640*AP640</f>
        <v>0</v>
      </c>
      <c r="L640" s="90">
        <f>G640*H640</f>
        <v>0</v>
      </c>
      <c r="M640" s="90">
        <f>L640*(1+BW640/100)</f>
        <v>0</v>
      </c>
      <c r="N640" s="90">
        <v>4.9160000000000002E-2</v>
      </c>
      <c r="O640" s="90">
        <f>G640*N640</f>
        <v>9.9938396360000006</v>
      </c>
      <c r="P640" s="92" t="s">
        <v>64</v>
      </c>
      <c r="Z640" s="93">
        <f>IF(AQ640="5",BJ640,0)</f>
        <v>0</v>
      </c>
      <c r="AB640" s="93">
        <f>IF(AQ640="1",BH640,0)</f>
        <v>0</v>
      </c>
      <c r="AC640" s="93">
        <f>IF(AQ640="1",BI640,0)</f>
        <v>0</v>
      </c>
      <c r="AD640" s="93">
        <f>IF(AQ640="7",BH640,0)</f>
        <v>0</v>
      </c>
      <c r="AE640" s="93">
        <f>IF(AQ640="7",BI640,0)</f>
        <v>0</v>
      </c>
      <c r="AF640" s="93">
        <f>IF(AQ640="2",BH640,0)</f>
        <v>0</v>
      </c>
      <c r="AG640" s="93">
        <f>IF(AQ640="2",BI640,0)</f>
        <v>0</v>
      </c>
      <c r="AH640" s="93">
        <f>IF(AQ640="0",BJ640,0)</f>
        <v>0</v>
      </c>
      <c r="AI640" s="88" t="s">
        <v>55</v>
      </c>
      <c r="AJ640" s="93">
        <f>IF(AN640=0,L640,0)</f>
        <v>0</v>
      </c>
      <c r="AK640" s="93">
        <f>IF(AN640=12,L640,0)</f>
        <v>0</v>
      </c>
      <c r="AL640" s="93">
        <f>IF(AN640=21,L640,0)</f>
        <v>0</v>
      </c>
      <c r="AN640" s="93">
        <v>21</v>
      </c>
      <c r="AO640" s="93">
        <f>H640*0.464568259</f>
        <v>0</v>
      </c>
      <c r="AP640" s="93">
        <f>H640*(1-0.464568259)</f>
        <v>0</v>
      </c>
      <c r="AQ640" s="94" t="s">
        <v>59</v>
      </c>
      <c r="AV640" s="93">
        <f>AW640+AX640</f>
        <v>0</v>
      </c>
      <c r="AW640" s="93">
        <f>G640*AO640</f>
        <v>0</v>
      </c>
      <c r="AX640" s="93">
        <f>G640*AP640</f>
        <v>0</v>
      </c>
      <c r="AY640" s="94" t="s">
        <v>604</v>
      </c>
      <c r="AZ640" s="94" t="s">
        <v>605</v>
      </c>
      <c r="BA640" s="88" t="s">
        <v>67</v>
      </c>
      <c r="BC640" s="93">
        <f>AW640+AX640</f>
        <v>0</v>
      </c>
      <c r="BD640" s="93">
        <f>H640/(100-BE640)*100</f>
        <v>0</v>
      </c>
      <c r="BE640" s="93">
        <v>0</v>
      </c>
      <c r="BF640" s="93">
        <f>O640</f>
        <v>9.9938396360000006</v>
      </c>
      <c r="BH640" s="93">
        <f>G640*AO640</f>
        <v>0</v>
      </c>
      <c r="BI640" s="93">
        <f>G640*AP640</f>
        <v>0</v>
      </c>
      <c r="BJ640" s="93">
        <f>G640*H640</f>
        <v>0</v>
      </c>
      <c r="BK640" s="93"/>
      <c r="BL640" s="93">
        <v>41</v>
      </c>
      <c r="BW640" s="93" t="str">
        <f>I640</f>
        <v>21</v>
      </c>
      <c r="BX640" s="2" t="s">
        <v>796</v>
      </c>
    </row>
    <row r="641" spans="1:76" s="81" customFormat="1" ht="13.5" customHeight="1" x14ac:dyDescent="0.25">
      <c r="A641" s="110"/>
      <c r="B641" s="95"/>
      <c r="C641" s="95"/>
      <c r="D641" s="179" t="s">
        <v>797</v>
      </c>
      <c r="E641" s="179"/>
      <c r="F641" s="179"/>
      <c r="G641" s="179"/>
      <c r="H641" s="179"/>
      <c r="I641" s="179"/>
      <c r="J641" s="179"/>
      <c r="K641" s="179"/>
      <c r="L641" s="179"/>
      <c r="M641" s="179"/>
      <c r="N641" s="179"/>
      <c r="O641" s="179"/>
      <c r="P641" s="179"/>
    </row>
    <row r="642" spans="1:76" s="81" customFormat="1" x14ac:dyDescent="0.25">
      <c r="A642" s="110"/>
      <c r="B642" s="95"/>
      <c r="C642" s="95"/>
      <c r="D642" s="76" t="s">
        <v>54</v>
      </c>
      <c r="E642" s="76" t="s">
        <v>619</v>
      </c>
      <c r="F642" s="95"/>
      <c r="G642" s="96">
        <v>0</v>
      </c>
      <c r="H642" s="95"/>
      <c r="I642" s="95"/>
      <c r="J642" s="95"/>
      <c r="K642" s="95"/>
      <c r="L642" s="95"/>
      <c r="M642" s="95"/>
      <c r="N642" s="95"/>
      <c r="O642" s="95"/>
      <c r="P642" s="95"/>
    </row>
    <row r="643" spans="1:76" s="81" customFormat="1" x14ac:dyDescent="0.25">
      <c r="A643" s="110"/>
      <c r="B643" s="95"/>
      <c r="C643" s="95"/>
      <c r="D643" s="76" t="s">
        <v>54</v>
      </c>
      <c r="E643" s="76" t="s">
        <v>620</v>
      </c>
      <c r="F643" s="95"/>
      <c r="G643" s="96">
        <v>0</v>
      </c>
      <c r="H643" s="95"/>
      <c r="I643" s="95"/>
      <c r="J643" s="95"/>
      <c r="K643" s="95"/>
      <c r="L643" s="95"/>
      <c r="M643" s="95"/>
      <c r="N643" s="95"/>
      <c r="O643" s="95"/>
      <c r="P643" s="95"/>
    </row>
    <row r="644" spans="1:76" s="81" customFormat="1" x14ac:dyDescent="0.25">
      <c r="A644" s="110"/>
      <c r="B644" s="95"/>
      <c r="C644" s="95"/>
      <c r="D644" s="76" t="s">
        <v>798</v>
      </c>
      <c r="E644" s="76" t="s">
        <v>54</v>
      </c>
      <c r="F644" s="95"/>
      <c r="G644" s="96">
        <v>49.888500000000001</v>
      </c>
      <c r="H644" s="95"/>
      <c r="I644" s="95"/>
      <c r="J644" s="95"/>
      <c r="K644" s="95"/>
      <c r="L644" s="95"/>
      <c r="M644" s="95"/>
      <c r="N644" s="95"/>
      <c r="O644" s="95"/>
      <c r="P644" s="95"/>
    </row>
    <row r="645" spans="1:76" s="81" customFormat="1" x14ac:dyDescent="0.25">
      <c r="A645" s="110"/>
      <c r="B645" s="95"/>
      <c r="C645" s="95"/>
      <c r="D645" s="76" t="s">
        <v>799</v>
      </c>
      <c r="E645" s="76" t="s">
        <v>54</v>
      </c>
      <c r="F645" s="95"/>
      <c r="G645" s="96">
        <v>6.444</v>
      </c>
      <c r="H645" s="95"/>
      <c r="I645" s="95"/>
      <c r="J645" s="95"/>
      <c r="K645" s="95"/>
      <c r="L645" s="95"/>
      <c r="M645" s="95"/>
      <c r="N645" s="95"/>
      <c r="O645" s="95"/>
      <c r="P645" s="95"/>
    </row>
    <row r="646" spans="1:76" s="81" customFormat="1" x14ac:dyDescent="0.25">
      <c r="A646" s="110"/>
      <c r="B646" s="95"/>
      <c r="C646" s="95"/>
      <c r="D646" s="76" t="s">
        <v>800</v>
      </c>
      <c r="E646" s="76" t="s">
        <v>54</v>
      </c>
      <c r="F646" s="95"/>
      <c r="G646" s="96">
        <v>64.006249999999994</v>
      </c>
      <c r="H646" s="95"/>
      <c r="I646" s="95"/>
      <c r="J646" s="95"/>
      <c r="K646" s="95"/>
      <c r="L646" s="95"/>
      <c r="M646" s="95"/>
      <c r="N646" s="95"/>
      <c r="O646" s="95"/>
      <c r="P646" s="95"/>
    </row>
    <row r="647" spans="1:76" s="81" customFormat="1" x14ac:dyDescent="0.25">
      <c r="A647" s="110"/>
      <c r="B647" s="95"/>
      <c r="C647" s="95"/>
      <c r="D647" s="76" t="s">
        <v>801</v>
      </c>
      <c r="E647" s="76" t="s">
        <v>54</v>
      </c>
      <c r="F647" s="95"/>
      <c r="G647" s="96">
        <v>12.972</v>
      </c>
      <c r="H647" s="95"/>
      <c r="I647" s="95"/>
      <c r="J647" s="95"/>
      <c r="K647" s="95"/>
      <c r="L647" s="95"/>
      <c r="M647" s="95"/>
      <c r="N647" s="95"/>
      <c r="O647" s="95"/>
      <c r="P647" s="95"/>
    </row>
    <row r="648" spans="1:76" s="81" customFormat="1" x14ac:dyDescent="0.25">
      <c r="A648" s="110"/>
      <c r="B648" s="95"/>
      <c r="C648" s="95"/>
      <c r="D648" s="76" t="s">
        <v>54</v>
      </c>
      <c r="E648" s="76" t="s">
        <v>625</v>
      </c>
      <c r="F648" s="95"/>
      <c r="G648" s="96">
        <v>0</v>
      </c>
      <c r="H648" s="95"/>
      <c r="I648" s="95"/>
      <c r="J648" s="95"/>
      <c r="K648" s="95"/>
      <c r="L648" s="95"/>
      <c r="M648" s="95"/>
      <c r="N648" s="95"/>
      <c r="O648" s="95"/>
      <c r="P648" s="95"/>
    </row>
    <row r="649" spans="1:76" s="81" customFormat="1" x14ac:dyDescent="0.25">
      <c r="A649" s="110"/>
      <c r="B649" s="95"/>
      <c r="C649" s="95"/>
      <c r="D649" s="76" t="s">
        <v>802</v>
      </c>
      <c r="E649" s="76" t="s">
        <v>54</v>
      </c>
      <c r="F649" s="95"/>
      <c r="G649" s="96">
        <v>69.981350000000006</v>
      </c>
      <c r="H649" s="97"/>
      <c r="I649" s="95"/>
      <c r="J649" s="95"/>
      <c r="K649" s="95"/>
      <c r="L649" s="95"/>
      <c r="M649" s="95"/>
      <c r="N649" s="95"/>
      <c r="O649" s="95"/>
      <c r="P649" s="95"/>
    </row>
    <row r="650" spans="1:76" s="81" customFormat="1" x14ac:dyDescent="0.25">
      <c r="A650" s="66" t="s">
        <v>803</v>
      </c>
      <c r="B650" s="72" t="s">
        <v>55</v>
      </c>
      <c r="C650" s="72" t="s">
        <v>804</v>
      </c>
      <c r="D650" s="174" t="s">
        <v>805</v>
      </c>
      <c r="E650" s="174"/>
      <c r="F650" s="72" t="s">
        <v>192</v>
      </c>
      <c r="G650" s="90">
        <v>203.2921</v>
      </c>
      <c r="H650" s="91"/>
      <c r="I650" s="92" t="s">
        <v>63</v>
      </c>
      <c r="J650" s="90">
        <f>G650*AO650</f>
        <v>0</v>
      </c>
      <c r="K650" s="90">
        <f>G650*AP650</f>
        <v>0</v>
      </c>
      <c r="L650" s="90">
        <f>G650*H650</f>
        <v>0</v>
      </c>
      <c r="M650" s="90">
        <f>L650*(1+BW650/100)</f>
        <v>0</v>
      </c>
      <c r="N650" s="90">
        <v>0</v>
      </c>
      <c r="O650" s="90">
        <f>G650*N650</f>
        <v>0</v>
      </c>
      <c r="P650" s="92" t="s">
        <v>64</v>
      </c>
      <c r="Z650" s="93">
        <f>IF(AQ650="5",BJ650,0)</f>
        <v>0</v>
      </c>
      <c r="AB650" s="93">
        <f>IF(AQ650="1",BH650,0)</f>
        <v>0</v>
      </c>
      <c r="AC650" s="93">
        <f>IF(AQ650="1",BI650,0)</f>
        <v>0</v>
      </c>
      <c r="AD650" s="93">
        <f>IF(AQ650="7",BH650,0)</f>
        <v>0</v>
      </c>
      <c r="AE650" s="93">
        <f>IF(AQ650="7",BI650,0)</f>
        <v>0</v>
      </c>
      <c r="AF650" s="93">
        <f>IF(AQ650="2",BH650,0)</f>
        <v>0</v>
      </c>
      <c r="AG650" s="93">
        <f>IF(AQ650="2",BI650,0)</f>
        <v>0</v>
      </c>
      <c r="AH650" s="93">
        <f>IF(AQ650="0",BJ650,0)</f>
        <v>0</v>
      </c>
      <c r="AI650" s="88" t="s">
        <v>55</v>
      </c>
      <c r="AJ650" s="93">
        <f>IF(AN650=0,L650,0)</f>
        <v>0</v>
      </c>
      <c r="AK650" s="93">
        <f>IF(AN650=12,L650,0)</f>
        <v>0</v>
      </c>
      <c r="AL650" s="93">
        <f>IF(AN650=21,L650,0)</f>
        <v>0</v>
      </c>
      <c r="AN650" s="93">
        <v>21</v>
      </c>
      <c r="AO650" s="93">
        <f>H650*0</f>
        <v>0</v>
      </c>
      <c r="AP650" s="93">
        <f>H650*(1-0)</f>
        <v>0</v>
      </c>
      <c r="AQ650" s="94" t="s">
        <v>59</v>
      </c>
      <c r="AV650" s="93">
        <f>AW650+AX650</f>
        <v>0</v>
      </c>
      <c r="AW650" s="93">
        <f>G650*AO650</f>
        <v>0</v>
      </c>
      <c r="AX650" s="93">
        <f>G650*AP650</f>
        <v>0</v>
      </c>
      <c r="AY650" s="94" t="s">
        <v>604</v>
      </c>
      <c r="AZ650" s="94" t="s">
        <v>605</v>
      </c>
      <c r="BA650" s="88" t="s">
        <v>67</v>
      </c>
      <c r="BC650" s="93">
        <f>AW650+AX650</f>
        <v>0</v>
      </c>
      <c r="BD650" s="93">
        <f>H650/(100-BE650)*100</f>
        <v>0</v>
      </c>
      <c r="BE650" s="93">
        <v>0</v>
      </c>
      <c r="BF650" s="93">
        <f>O650</f>
        <v>0</v>
      </c>
      <c r="BH650" s="93">
        <f>G650*AO650</f>
        <v>0</v>
      </c>
      <c r="BI650" s="93">
        <f>G650*AP650</f>
        <v>0</v>
      </c>
      <c r="BJ650" s="93">
        <f>G650*H650</f>
        <v>0</v>
      </c>
      <c r="BK650" s="93"/>
      <c r="BL650" s="93">
        <v>41</v>
      </c>
      <c r="BW650" s="93" t="str">
        <f>I650</f>
        <v>21</v>
      </c>
      <c r="BX650" s="2" t="s">
        <v>805</v>
      </c>
    </row>
    <row r="651" spans="1:76" s="81" customFormat="1" x14ac:dyDescent="0.25">
      <c r="A651" s="66" t="s">
        <v>806</v>
      </c>
      <c r="B651" s="72" t="s">
        <v>55</v>
      </c>
      <c r="C651" s="72" t="s">
        <v>807</v>
      </c>
      <c r="D651" s="174" t="s">
        <v>808</v>
      </c>
      <c r="E651" s="174"/>
      <c r="F651" s="72" t="s">
        <v>213</v>
      </c>
      <c r="G651" s="90">
        <v>31.728000000000002</v>
      </c>
      <c r="H651" s="91"/>
      <c r="I651" s="92" t="s">
        <v>63</v>
      </c>
      <c r="J651" s="90">
        <f>G651*AO651</f>
        <v>0</v>
      </c>
      <c r="K651" s="90">
        <f>G651*AP651</f>
        <v>0</v>
      </c>
      <c r="L651" s="90">
        <f>G651*H651</f>
        <v>0</v>
      </c>
      <c r="M651" s="90">
        <f>L651*(1+BW651/100)</f>
        <v>0</v>
      </c>
      <c r="N651" s="90">
        <v>2.3009999999999999E-2</v>
      </c>
      <c r="O651" s="90">
        <f>G651*N651</f>
        <v>0.73006128000000003</v>
      </c>
      <c r="P651" s="92" t="s">
        <v>64</v>
      </c>
      <c r="Z651" s="93">
        <f>IF(AQ651="5",BJ651,0)</f>
        <v>0</v>
      </c>
      <c r="AB651" s="93">
        <f>IF(AQ651="1",BH651,0)</f>
        <v>0</v>
      </c>
      <c r="AC651" s="93">
        <f>IF(AQ651="1",BI651,0)</f>
        <v>0</v>
      </c>
      <c r="AD651" s="93">
        <f>IF(AQ651="7",BH651,0)</f>
        <v>0</v>
      </c>
      <c r="AE651" s="93">
        <f>IF(AQ651="7",BI651,0)</f>
        <v>0</v>
      </c>
      <c r="AF651" s="93">
        <f>IF(AQ651="2",BH651,0)</f>
        <v>0</v>
      </c>
      <c r="AG651" s="93">
        <f>IF(AQ651="2",BI651,0)</f>
        <v>0</v>
      </c>
      <c r="AH651" s="93">
        <f>IF(AQ651="0",BJ651,0)</f>
        <v>0</v>
      </c>
      <c r="AI651" s="88" t="s">
        <v>55</v>
      </c>
      <c r="AJ651" s="93">
        <f>IF(AN651=0,L651,0)</f>
        <v>0</v>
      </c>
      <c r="AK651" s="93">
        <f>IF(AN651=12,L651,0)</f>
        <v>0</v>
      </c>
      <c r="AL651" s="93">
        <f>IF(AN651=21,L651,0)</f>
        <v>0</v>
      </c>
      <c r="AN651" s="93">
        <v>21</v>
      </c>
      <c r="AO651" s="93">
        <f>H651*0.719979007</f>
        <v>0</v>
      </c>
      <c r="AP651" s="93">
        <f>H651*(1-0.719979007)</f>
        <v>0</v>
      </c>
      <c r="AQ651" s="94" t="s">
        <v>59</v>
      </c>
      <c r="AV651" s="93">
        <f>AW651+AX651</f>
        <v>0</v>
      </c>
      <c r="AW651" s="93">
        <f>G651*AO651</f>
        <v>0</v>
      </c>
      <c r="AX651" s="93">
        <f>G651*AP651</f>
        <v>0</v>
      </c>
      <c r="AY651" s="94" t="s">
        <v>604</v>
      </c>
      <c r="AZ651" s="94" t="s">
        <v>605</v>
      </c>
      <c r="BA651" s="88" t="s">
        <v>67</v>
      </c>
      <c r="BC651" s="93">
        <f>AW651+AX651</f>
        <v>0</v>
      </c>
      <c r="BD651" s="93">
        <f>H651/(100-BE651)*100</f>
        <v>0</v>
      </c>
      <c r="BE651" s="93">
        <v>0</v>
      </c>
      <c r="BF651" s="93">
        <f>O651</f>
        <v>0.73006128000000003</v>
      </c>
      <c r="BH651" s="93">
        <f>G651*AO651</f>
        <v>0</v>
      </c>
      <c r="BI651" s="93">
        <f>G651*AP651</f>
        <v>0</v>
      </c>
      <c r="BJ651" s="93">
        <f>G651*H651</f>
        <v>0</v>
      </c>
      <c r="BK651" s="93"/>
      <c r="BL651" s="93">
        <v>41</v>
      </c>
      <c r="BW651" s="93" t="str">
        <f>I651</f>
        <v>21</v>
      </c>
      <c r="BX651" s="2" t="s">
        <v>808</v>
      </c>
    </row>
    <row r="652" spans="1:76" s="81" customFormat="1" x14ac:dyDescent="0.25">
      <c r="A652" s="110"/>
      <c r="B652" s="95"/>
      <c r="C652" s="95"/>
      <c r="D652" s="76" t="s">
        <v>54</v>
      </c>
      <c r="E652" s="76" t="s">
        <v>809</v>
      </c>
      <c r="F652" s="95"/>
      <c r="G652" s="96">
        <v>0</v>
      </c>
      <c r="H652" s="97"/>
      <c r="I652" s="95"/>
      <c r="J652" s="95"/>
      <c r="K652" s="95"/>
      <c r="L652" s="95"/>
      <c r="M652" s="95"/>
      <c r="N652" s="95"/>
      <c r="O652" s="95"/>
      <c r="P652" s="95"/>
    </row>
    <row r="653" spans="1:76" s="81" customFormat="1" x14ac:dyDescent="0.25">
      <c r="A653" s="110"/>
      <c r="B653" s="95"/>
      <c r="C653" s="95"/>
      <c r="D653" s="76" t="s">
        <v>810</v>
      </c>
      <c r="E653" s="76" t="s">
        <v>54</v>
      </c>
      <c r="F653" s="95"/>
      <c r="G653" s="96">
        <v>31.728000000000002</v>
      </c>
      <c r="H653" s="97"/>
      <c r="I653" s="95"/>
      <c r="J653" s="95"/>
      <c r="K653" s="95"/>
      <c r="L653" s="95"/>
      <c r="M653" s="95"/>
      <c r="N653" s="95"/>
      <c r="O653" s="95"/>
      <c r="P653" s="95"/>
    </row>
    <row r="654" spans="1:76" s="81" customFormat="1" x14ac:dyDescent="0.25">
      <c r="A654" s="66" t="s">
        <v>811</v>
      </c>
      <c r="B654" s="72" t="s">
        <v>55</v>
      </c>
      <c r="C654" s="72" t="s">
        <v>812</v>
      </c>
      <c r="D654" s="174" t="s">
        <v>813</v>
      </c>
      <c r="E654" s="174"/>
      <c r="F654" s="72" t="s">
        <v>213</v>
      </c>
      <c r="G654" s="90">
        <v>41.17</v>
      </c>
      <c r="H654" s="91"/>
      <c r="I654" s="92" t="s">
        <v>63</v>
      </c>
      <c r="J654" s="90">
        <f>G654*AO654</f>
        <v>0</v>
      </c>
      <c r="K654" s="90">
        <f>G654*AP654</f>
        <v>0</v>
      </c>
      <c r="L654" s="90">
        <f>G654*H654</f>
        <v>0</v>
      </c>
      <c r="M654" s="90">
        <f>L654*(1+BW654/100)</f>
        <v>0</v>
      </c>
      <c r="N654" s="90">
        <v>1.0880000000000001E-2</v>
      </c>
      <c r="O654" s="90">
        <f>G654*N654</f>
        <v>0.44792960000000004</v>
      </c>
      <c r="P654" s="92" t="s">
        <v>64</v>
      </c>
      <c r="Z654" s="93">
        <f>IF(AQ654="5",BJ654,0)</f>
        <v>0</v>
      </c>
      <c r="AB654" s="93">
        <f>IF(AQ654="1",BH654,0)</f>
        <v>0</v>
      </c>
      <c r="AC654" s="93">
        <f>IF(AQ654="1",BI654,0)</f>
        <v>0</v>
      </c>
      <c r="AD654" s="93">
        <f>IF(AQ654="7",BH654,0)</f>
        <v>0</v>
      </c>
      <c r="AE654" s="93">
        <f>IF(AQ654="7",BI654,0)</f>
        <v>0</v>
      </c>
      <c r="AF654" s="93">
        <f>IF(AQ654="2",BH654,0)</f>
        <v>0</v>
      </c>
      <c r="AG654" s="93">
        <f>IF(AQ654="2",BI654,0)</f>
        <v>0</v>
      </c>
      <c r="AH654" s="93">
        <f>IF(AQ654="0",BJ654,0)</f>
        <v>0</v>
      </c>
      <c r="AI654" s="88" t="s">
        <v>55</v>
      </c>
      <c r="AJ654" s="93">
        <f>IF(AN654=0,L654,0)</f>
        <v>0</v>
      </c>
      <c r="AK654" s="93">
        <f>IF(AN654=12,L654,0)</f>
        <v>0</v>
      </c>
      <c r="AL654" s="93">
        <f>IF(AN654=21,L654,0)</f>
        <v>0</v>
      </c>
      <c r="AN654" s="93">
        <v>21</v>
      </c>
      <c r="AO654" s="93">
        <f>H654*0.885668016</f>
        <v>0</v>
      </c>
      <c r="AP654" s="93">
        <f>H654*(1-0.885668016)</f>
        <v>0</v>
      </c>
      <c r="AQ654" s="94" t="s">
        <v>59</v>
      </c>
      <c r="AV654" s="93">
        <f>AW654+AX654</f>
        <v>0</v>
      </c>
      <c r="AW654" s="93">
        <f>G654*AO654</f>
        <v>0</v>
      </c>
      <c r="AX654" s="93">
        <f>G654*AP654</f>
        <v>0</v>
      </c>
      <c r="AY654" s="94" t="s">
        <v>604</v>
      </c>
      <c r="AZ654" s="94" t="s">
        <v>605</v>
      </c>
      <c r="BA654" s="88" t="s">
        <v>67</v>
      </c>
      <c r="BC654" s="93">
        <f>AW654+AX654</f>
        <v>0</v>
      </c>
      <c r="BD654" s="93">
        <f>H654/(100-BE654)*100</f>
        <v>0</v>
      </c>
      <c r="BE654" s="93">
        <v>0</v>
      </c>
      <c r="BF654" s="93">
        <f>O654</f>
        <v>0.44792960000000004</v>
      </c>
      <c r="BH654" s="93">
        <f>G654*AO654</f>
        <v>0</v>
      </c>
      <c r="BI654" s="93">
        <f>G654*AP654</f>
        <v>0</v>
      </c>
      <c r="BJ654" s="93">
        <f>G654*H654</f>
        <v>0</v>
      </c>
      <c r="BK654" s="93"/>
      <c r="BL654" s="93">
        <v>41</v>
      </c>
      <c r="BW654" s="93" t="str">
        <f>I654</f>
        <v>21</v>
      </c>
      <c r="BX654" s="2" t="s">
        <v>813</v>
      </c>
    </row>
    <row r="655" spans="1:76" s="81" customFormat="1" x14ac:dyDescent="0.25">
      <c r="A655" s="110"/>
      <c r="B655" s="95"/>
      <c r="C655" s="95"/>
      <c r="D655" s="76" t="s">
        <v>54</v>
      </c>
      <c r="E655" s="76" t="s">
        <v>814</v>
      </c>
      <c r="F655" s="95"/>
      <c r="G655" s="96">
        <v>0</v>
      </c>
      <c r="H655" s="97"/>
      <c r="I655" s="95"/>
      <c r="J655" s="95"/>
      <c r="K655" s="95"/>
      <c r="L655" s="95"/>
      <c r="M655" s="95"/>
      <c r="N655" s="95"/>
      <c r="O655" s="95"/>
      <c r="P655" s="95"/>
    </row>
    <row r="656" spans="1:76" s="81" customFormat="1" x14ac:dyDescent="0.25">
      <c r="A656" s="110"/>
      <c r="B656" s="95"/>
      <c r="C656" s="95"/>
      <c r="D656" s="76" t="s">
        <v>815</v>
      </c>
      <c r="E656" s="76" t="s">
        <v>54</v>
      </c>
      <c r="F656" s="95"/>
      <c r="G656" s="96">
        <v>41.17</v>
      </c>
      <c r="H656" s="97"/>
      <c r="I656" s="95"/>
      <c r="J656" s="95"/>
      <c r="K656" s="95"/>
      <c r="L656" s="95"/>
      <c r="M656" s="95"/>
      <c r="N656" s="95"/>
      <c r="O656" s="95"/>
      <c r="P656" s="95"/>
    </row>
    <row r="657" spans="1:76" s="81" customFormat="1" x14ac:dyDescent="0.25">
      <c r="A657" s="109" t="s">
        <v>54</v>
      </c>
      <c r="B657" s="74" t="s">
        <v>55</v>
      </c>
      <c r="C657" s="74" t="s">
        <v>372</v>
      </c>
      <c r="D657" s="180" t="s">
        <v>816</v>
      </c>
      <c r="E657" s="180"/>
      <c r="F657" s="85" t="s">
        <v>4</v>
      </c>
      <c r="G657" s="85" t="s">
        <v>4</v>
      </c>
      <c r="H657" s="98"/>
      <c r="I657" s="85" t="s">
        <v>4</v>
      </c>
      <c r="J657" s="86">
        <f>SUM(J658:J658)</f>
        <v>0</v>
      </c>
      <c r="K657" s="86">
        <f>SUM(K658:K658)</f>
        <v>0</v>
      </c>
      <c r="L657" s="86">
        <f>SUM(L658:L658)</f>
        <v>0</v>
      </c>
      <c r="M657" s="86">
        <f>SUM(M658:M658)</f>
        <v>0</v>
      </c>
      <c r="N657" s="87" t="s">
        <v>54</v>
      </c>
      <c r="O657" s="86">
        <f>SUM(O658:O658)</f>
        <v>12.780707027500002</v>
      </c>
      <c r="P657" s="87" t="s">
        <v>54</v>
      </c>
      <c r="AI657" s="88" t="s">
        <v>55</v>
      </c>
      <c r="AS657" s="89">
        <f>SUM(AJ658:AJ658)</f>
        <v>0</v>
      </c>
      <c r="AT657" s="89">
        <f>SUM(AK658:AK658)</f>
        <v>0</v>
      </c>
      <c r="AU657" s="89">
        <f>SUM(AL658:AL658)</f>
        <v>0</v>
      </c>
    </row>
    <row r="658" spans="1:76" s="81" customFormat="1" x14ac:dyDescent="0.25">
      <c r="A658" s="66" t="s">
        <v>817</v>
      </c>
      <c r="B658" s="72" t="s">
        <v>55</v>
      </c>
      <c r="C658" s="72" t="s">
        <v>818</v>
      </c>
      <c r="D658" s="174" t="s">
        <v>819</v>
      </c>
      <c r="E658" s="174"/>
      <c r="F658" s="72" t="s">
        <v>62</v>
      </c>
      <c r="G658" s="90">
        <v>4.1485700000000003</v>
      </c>
      <c r="H658" s="91"/>
      <c r="I658" s="92" t="s">
        <v>63</v>
      </c>
      <c r="J658" s="90">
        <f>G658*AO658</f>
        <v>0</v>
      </c>
      <c r="K658" s="90">
        <f>G658*AP658</f>
        <v>0</v>
      </c>
      <c r="L658" s="90">
        <f>G658*H658</f>
        <v>0</v>
      </c>
      <c r="M658" s="90">
        <f>L658*(1+BW658/100)</f>
        <v>0</v>
      </c>
      <c r="N658" s="90">
        <v>3.0807500000000001</v>
      </c>
      <c r="O658" s="90">
        <f>G658*N658</f>
        <v>12.780707027500002</v>
      </c>
      <c r="P658" s="92" t="s">
        <v>64</v>
      </c>
      <c r="Z658" s="93">
        <f>IF(AQ658="5",BJ658,0)</f>
        <v>0</v>
      </c>
      <c r="AB658" s="93">
        <f>IF(AQ658="1",BH658,0)</f>
        <v>0</v>
      </c>
      <c r="AC658" s="93">
        <f>IF(AQ658="1",BI658,0)</f>
        <v>0</v>
      </c>
      <c r="AD658" s="93">
        <f>IF(AQ658="7",BH658,0)</f>
        <v>0</v>
      </c>
      <c r="AE658" s="93">
        <f>IF(AQ658="7",BI658,0)</f>
        <v>0</v>
      </c>
      <c r="AF658" s="93">
        <f>IF(AQ658="2",BH658,0)</f>
        <v>0</v>
      </c>
      <c r="AG658" s="93">
        <f>IF(AQ658="2",BI658,0)</f>
        <v>0</v>
      </c>
      <c r="AH658" s="93">
        <f>IF(AQ658="0",BJ658,0)</f>
        <v>0</v>
      </c>
      <c r="AI658" s="88" t="s">
        <v>55</v>
      </c>
      <c r="AJ658" s="93">
        <f>IF(AN658=0,L658,0)</f>
        <v>0</v>
      </c>
      <c r="AK658" s="93">
        <f>IF(AN658=12,L658,0)</f>
        <v>0</v>
      </c>
      <c r="AL658" s="93">
        <f>IF(AN658=21,L658,0)</f>
        <v>0</v>
      </c>
      <c r="AN658" s="93">
        <v>21</v>
      </c>
      <c r="AO658" s="93">
        <f>H658*0.523747456</f>
        <v>0</v>
      </c>
      <c r="AP658" s="93">
        <f>H658*(1-0.523747456)</f>
        <v>0</v>
      </c>
      <c r="AQ658" s="94" t="s">
        <v>59</v>
      </c>
      <c r="AV658" s="93">
        <f>AW658+AX658</f>
        <v>0</v>
      </c>
      <c r="AW658" s="93">
        <f>G658*AO658</f>
        <v>0</v>
      </c>
      <c r="AX658" s="93">
        <f>G658*AP658</f>
        <v>0</v>
      </c>
      <c r="AY658" s="94" t="s">
        <v>820</v>
      </c>
      <c r="AZ658" s="94" t="s">
        <v>605</v>
      </c>
      <c r="BA658" s="88" t="s">
        <v>67</v>
      </c>
      <c r="BC658" s="93">
        <f>AW658+AX658</f>
        <v>0</v>
      </c>
      <c r="BD658" s="93">
        <f>H658/(100-BE658)*100</f>
        <v>0</v>
      </c>
      <c r="BE658" s="93">
        <v>0</v>
      </c>
      <c r="BF658" s="93">
        <f>O658</f>
        <v>12.780707027500002</v>
      </c>
      <c r="BH658" s="93">
        <f>G658*AO658</f>
        <v>0</v>
      </c>
      <c r="BI658" s="93">
        <f>G658*AP658</f>
        <v>0</v>
      </c>
      <c r="BJ658" s="93">
        <f>G658*H658</f>
        <v>0</v>
      </c>
      <c r="BK658" s="93"/>
      <c r="BL658" s="93">
        <v>43</v>
      </c>
      <c r="BW658" s="93" t="str">
        <f>I658</f>
        <v>21</v>
      </c>
      <c r="BX658" s="2" t="s">
        <v>819</v>
      </c>
    </row>
    <row r="659" spans="1:76" s="81" customFormat="1" x14ac:dyDescent="0.25">
      <c r="A659" s="110"/>
      <c r="B659" s="95"/>
      <c r="C659" s="95"/>
      <c r="D659" s="76" t="s">
        <v>54</v>
      </c>
      <c r="E659" s="76" t="s">
        <v>787</v>
      </c>
      <c r="F659" s="95"/>
      <c r="G659" s="96">
        <v>0</v>
      </c>
      <c r="H659" s="97"/>
      <c r="I659" s="95"/>
      <c r="J659" s="95"/>
      <c r="K659" s="95"/>
      <c r="L659" s="95"/>
      <c r="M659" s="95"/>
      <c r="N659" s="95"/>
      <c r="O659" s="95"/>
      <c r="P659" s="95"/>
    </row>
    <row r="660" spans="1:76" s="81" customFormat="1" x14ac:dyDescent="0.25">
      <c r="A660" s="110"/>
      <c r="B660" s="95"/>
      <c r="C660" s="95"/>
      <c r="D660" s="76" t="s">
        <v>54</v>
      </c>
      <c r="E660" s="76" t="s">
        <v>821</v>
      </c>
      <c r="F660" s="95"/>
      <c r="G660" s="96">
        <v>0</v>
      </c>
      <c r="H660" s="97"/>
      <c r="I660" s="95"/>
      <c r="J660" s="95"/>
      <c r="K660" s="95"/>
      <c r="L660" s="95"/>
      <c r="M660" s="95"/>
      <c r="N660" s="95"/>
      <c r="O660" s="95"/>
      <c r="P660" s="95"/>
    </row>
    <row r="661" spans="1:76" s="81" customFormat="1" x14ac:dyDescent="0.25">
      <c r="A661" s="110"/>
      <c r="B661" s="95"/>
      <c r="C661" s="95"/>
      <c r="D661" s="76" t="s">
        <v>54</v>
      </c>
      <c r="E661" s="76" t="s">
        <v>822</v>
      </c>
      <c r="F661" s="95"/>
      <c r="G661" s="96">
        <v>0</v>
      </c>
      <c r="H661" s="97"/>
      <c r="I661" s="95"/>
      <c r="J661" s="95"/>
      <c r="K661" s="95"/>
      <c r="L661" s="95"/>
      <c r="M661" s="95"/>
      <c r="N661" s="95"/>
      <c r="O661" s="95"/>
      <c r="P661" s="95"/>
    </row>
    <row r="662" spans="1:76" s="81" customFormat="1" x14ac:dyDescent="0.25">
      <c r="A662" s="110"/>
      <c r="B662" s="95"/>
      <c r="C662" s="95"/>
      <c r="D662" s="76" t="s">
        <v>823</v>
      </c>
      <c r="E662" s="76" t="s">
        <v>54</v>
      </c>
      <c r="F662" s="95"/>
      <c r="G662" s="96">
        <v>0.91488999999999998</v>
      </c>
      <c r="H662" s="97"/>
      <c r="I662" s="95"/>
      <c r="J662" s="95"/>
      <c r="K662" s="95"/>
      <c r="L662" s="95"/>
      <c r="M662" s="95"/>
      <c r="N662" s="95"/>
      <c r="O662" s="95"/>
      <c r="P662" s="95"/>
    </row>
    <row r="663" spans="1:76" s="81" customFormat="1" ht="25.5" x14ac:dyDescent="0.25">
      <c r="A663" s="110"/>
      <c r="B663" s="95"/>
      <c r="C663" s="95"/>
      <c r="D663" s="76" t="s">
        <v>824</v>
      </c>
      <c r="E663" s="76" t="s">
        <v>54</v>
      </c>
      <c r="F663" s="95"/>
      <c r="G663" s="96">
        <v>3.2336800000000001</v>
      </c>
      <c r="H663" s="97"/>
      <c r="I663" s="95"/>
      <c r="J663" s="95"/>
      <c r="K663" s="95"/>
      <c r="L663" s="95"/>
      <c r="M663" s="95"/>
      <c r="N663" s="95"/>
      <c r="O663" s="95"/>
      <c r="P663" s="95"/>
    </row>
    <row r="664" spans="1:76" s="81" customFormat="1" x14ac:dyDescent="0.25">
      <c r="A664" s="109" t="s">
        <v>54</v>
      </c>
      <c r="B664" s="74" t="s">
        <v>55</v>
      </c>
      <c r="C664" s="74" t="s">
        <v>375</v>
      </c>
      <c r="D664" s="180" t="s">
        <v>825</v>
      </c>
      <c r="E664" s="180"/>
      <c r="F664" s="85" t="s">
        <v>4</v>
      </c>
      <c r="G664" s="85" t="s">
        <v>4</v>
      </c>
      <c r="H664" s="98"/>
      <c r="I664" s="85" t="s">
        <v>4</v>
      </c>
      <c r="J664" s="86">
        <f>SUM(J665:J665)</f>
        <v>0</v>
      </c>
      <c r="K664" s="86">
        <f>SUM(K665:K665)</f>
        <v>0</v>
      </c>
      <c r="L664" s="86">
        <f>SUM(L665:L665)</f>
        <v>0</v>
      </c>
      <c r="M664" s="86">
        <f>SUM(M665:M665)</f>
        <v>0</v>
      </c>
      <c r="N664" s="87" t="s">
        <v>54</v>
      </c>
      <c r="O664" s="86">
        <f>SUM(O665:O665)</f>
        <v>45.088584654000002</v>
      </c>
      <c r="P664" s="87" t="s">
        <v>54</v>
      </c>
      <c r="AI664" s="88" t="s">
        <v>55</v>
      </c>
      <c r="AS664" s="89">
        <f>SUM(AJ665:AJ665)</f>
        <v>0</v>
      </c>
      <c r="AT664" s="89">
        <f>SUM(AK665:AK665)</f>
        <v>0</v>
      </c>
      <c r="AU664" s="89">
        <f>SUM(AL665:AL665)</f>
        <v>0</v>
      </c>
    </row>
    <row r="665" spans="1:76" s="81" customFormat="1" x14ac:dyDescent="0.25">
      <c r="A665" s="66" t="s">
        <v>826</v>
      </c>
      <c r="B665" s="72" t="s">
        <v>55</v>
      </c>
      <c r="C665" s="72" t="s">
        <v>827</v>
      </c>
      <c r="D665" s="174" t="s">
        <v>828</v>
      </c>
      <c r="E665" s="174"/>
      <c r="F665" s="72" t="s">
        <v>192</v>
      </c>
      <c r="G665" s="90">
        <v>741.34469999999999</v>
      </c>
      <c r="H665" s="91"/>
      <c r="I665" s="92" t="s">
        <v>63</v>
      </c>
      <c r="J665" s="90">
        <f>G665*AO665</f>
        <v>0</v>
      </c>
      <c r="K665" s="90">
        <f>G665*AP665</f>
        <v>0</v>
      </c>
      <c r="L665" s="90">
        <f>G665*H665</f>
        <v>0</v>
      </c>
      <c r="M665" s="90">
        <f>L665*(1+BW665/100)</f>
        <v>0</v>
      </c>
      <c r="N665" s="90">
        <v>6.0819999999999999E-2</v>
      </c>
      <c r="O665" s="90">
        <f>G665*N665</f>
        <v>45.088584654000002</v>
      </c>
      <c r="P665" s="92" t="s">
        <v>371</v>
      </c>
      <c r="Z665" s="93">
        <f>IF(AQ665="5",BJ665,0)</f>
        <v>0</v>
      </c>
      <c r="AB665" s="93">
        <f>IF(AQ665="1",BH665,0)</f>
        <v>0</v>
      </c>
      <c r="AC665" s="93">
        <f>IF(AQ665="1",BI665,0)</f>
        <v>0</v>
      </c>
      <c r="AD665" s="93">
        <f>IF(AQ665="7",BH665,0)</f>
        <v>0</v>
      </c>
      <c r="AE665" s="93">
        <f>IF(AQ665="7",BI665,0)</f>
        <v>0</v>
      </c>
      <c r="AF665" s="93">
        <f>IF(AQ665="2",BH665,0)</f>
        <v>0</v>
      </c>
      <c r="AG665" s="93">
        <f>IF(AQ665="2",BI665,0)</f>
        <v>0</v>
      </c>
      <c r="AH665" s="93">
        <f>IF(AQ665="0",BJ665,0)</f>
        <v>0</v>
      </c>
      <c r="AI665" s="88" t="s">
        <v>55</v>
      </c>
      <c r="AJ665" s="93">
        <f>IF(AN665=0,L665,0)</f>
        <v>0</v>
      </c>
      <c r="AK665" s="93">
        <f>IF(AN665=12,L665,0)</f>
        <v>0</v>
      </c>
      <c r="AL665" s="93">
        <f>IF(AN665=21,L665,0)</f>
        <v>0</v>
      </c>
      <c r="AN665" s="93">
        <v>21</v>
      </c>
      <c r="AO665" s="93">
        <f>H665*0.819316394</f>
        <v>0</v>
      </c>
      <c r="AP665" s="93">
        <f>H665*(1-0.819316394)</f>
        <v>0</v>
      </c>
      <c r="AQ665" s="94" t="s">
        <v>59</v>
      </c>
      <c r="AV665" s="93">
        <f>AW665+AX665</f>
        <v>0</v>
      </c>
      <c r="AW665" s="93">
        <f>G665*AO665</f>
        <v>0</v>
      </c>
      <c r="AX665" s="93">
        <f>G665*AP665</f>
        <v>0</v>
      </c>
      <c r="AY665" s="94" t="s">
        <v>829</v>
      </c>
      <c r="AZ665" s="94" t="s">
        <v>605</v>
      </c>
      <c r="BA665" s="88" t="s">
        <v>67</v>
      </c>
      <c r="BC665" s="93">
        <f>AW665+AX665</f>
        <v>0</v>
      </c>
      <c r="BD665" s="93">
        <f>H665/(100-BE665)*100</f>
        <v>0</v>
      </c>
      <c r="BE665" s="93">
        <v>0</v>
      </c>
      <c r="BF665" s="93">
        <f>O665</f>
        <v>45.088584654000002</v>
      </c>
      <c r="BH665" s="93">
        <f>G665*AO665</f>
        <v>0</v>
      </c>
      <c r="BI665" s="93">
        <f>G665*AP665</f>
        <v>0</v>
      </c>
      <c r="BJ665" s="93">
        <f>G665*H665</f>
        <v>0</v>
      </c>
      <c r="BK665" s="93"/>
      <c r="BL665" s="93">
        <v>44</v>
      </c>
      <c r="BW665" s="93" t="str">
        <f>I665</f>
        <v>21</v>
      </c>
      <c r="BX665" s="2" t="s">
        <v>828</v>
      </c>
    </row>
    <row r="666" spans="1:76" s="81" customFormat="1" ht="13.5" customHeight="1" x14ac:dyDescent="0.25">
      <c r="A666" s="110"/>
      <c r="B666" s="95"/>
      <c r="C666" s="95"/>
      <c r="D666" s="179" t="s">
        <v>830</v>
      </c>
      <c r="E666" s="179"/>
      <c r="F666" s="179"/>
      <c r="G666" s="179"/>
      <c r="H666" s="179"/>
      <c r="I666" s="179"/>
      <c r="J666" s="179"/>
      <c r="K666" s="179"/>
      <c r="L666" s="179"/>
      <c r="M666" s="179"/>
      <c r="N666" s="179"/>
      <c r="O666" s="179"/>
      <c r="P666" s="179"/>
    </row>
    <row r="667" spans="1:76" s="81" customFormat="1" x14ac:dyDescent="0.25">
      <c r="A667" s="110"/>
      <c r="B667" s="95"/>
      <c r="C667" s="95"/>
      <c r="D667" s="76" t="s">
        <v>54</v>
      </c>
      <c r="E667" s="76" t="s">
        <v>831</v>
      </c>
      <c r="F667" s="95"/>
      <c r="G667" s="96">
        <v>0</v>
      </c>
      <c r="H667" s="95"/>
      <c r="I667" s="95"/>
      <c r="J667" s="95"/>
      <c r="K667" s="95"/>
      <c r="L667" s="95"/>
      <c r="M667" s="95"/>
      <c r="N667" s="95"/>
      <c r="O667" s="95"/>
      <c r="P667" s="95"/>
    </row>
    <row r="668" spans="1:76" s="81" customFormat="1" x14ac:dyDescent="0.25">
      <c r="A668" s="110"/>
      <c r="B668" s="95"/>
      <c r="C668" s="95"/>
      <c r="D668" s="76" t="s">
        <v>54</v>
      </c>
      <c r="E668" s="76" t="s">
        <v>832</v>
      </c>
      <c r="F668" s="95"/>
      <c r="G668" s="96">
        <v>0</v>
      </c>
      <c r="H668" s="95"/>
      <c r="I668" s="95"/>
      <c r="J668" s="95"/>
      <c r="K668" s="95"/>
      <c r="L668" s="95"/>
      <c r="M668" s="95"/>
      <c r="N668" s="95"/>
      <c r="O668" s="95"/>
      <c r="P668" s="95"/>
    </row>
    <row r="669" spans="1:76" s="81" customFormat="1" x14ac:dyDescent="0.25">
      <c r="A669" s="110"/>
      <c r="B669" s="95"/>
      <c r="C669" s="95"/>
      <c r="D669" s="76" t="s">
        <v>833</v>
      </c>
      <c r="E669" s="76" t="s">
        <v>834</v>
      </c>
      <c r="F669" s="95"/>
      <c r="G669" s="96">
        <v>27.809000000000001</v>
      </c>
      <c r="H669" s="95"/>
      <c r="I669" s="95"/>
      <c r="J669" s="95"/>
      <c r="K669" s="95"/>
      <c r="L669" s="95"/>
      <c r="M669" s="95"/>
      <c r="N669" s="95"/>
      <c r="O669" s="95"/>
      <c r="P669" s="95"/>
    </row>
    <row r="670" spans="1:76" s="81" customFormat="1" x14ac:dyDescent="0.25">
      <c r="A670" s="110"/>
      <c r="B670" s="95"/>
      <c r="C670" s="95"/>
      <c r="D670" s="76" t="s">
        <v>54</v>
      </c>
      <c r="E670" s="76" t="s">
        <v>835</v>
      </c>
      <c r="F670" s="95"/>
      <c r="G670" s="96">
        <v>0</v>
      </c>
      <c r="H670" s="95"/>
      <c r="I670" s="95"/>
      <c r="J670" s="95"/>
      <c r="K670" s="95"/>
      <c r="L670" s="95"/>
      <c r="M670" s="95"/>
      <c r="N670" s="95"/>
      <c r="O670" s="95"/>
      <c r="P670" s="95"/>
    </row>
    <row r="671" spans="1:76" s="81" customFormat="1" x14ac:dyDescent="0.25">
      <c r="A671" s="110"/>
      <c r="B671" s="95"/>
      <c r="C671" s="95"/>
      <c r="D671" s="76" t="s">
        <v>836</v>
      </c>
      <c r="E671" s="76" t="s">
        <v>54</v>
      </c>
      <c r="F671" s="95"/>
      <c r="G671" s="96">
        <v>436.26</v>
      </c>
      <c r="H671" s="95"/>
      <c r="I671" s="95"/>
      <c r="J671" s="95"/>
      <c r="K671" s="95"/>
      <c r="L671" s="95"/>
      <c r="M671" s="95"/>
      <c r="N671" s="95"/>
      <c r="O671" s="95"/>
      <c r="P671" s="95"/>
    </row>
    <row r="672" spans="1:76" s="81" customFormat="1" x14ac:dyDescent="0.25">
      <c r="A672" s="110"/>
      <c r="B672" s="95"/>
      <c r="C672" s="95"/>
      <c r="D672" s="76" t="s">
        <v>54</v>
      </c>
      <c r="E672" s="76" t="s">
        <v>837</v>
      </c>
      <c r="F672" s="95"/>
      <c r="G672" s="96">
        <v>0</v>
      </c>
      <c r="H672" s="95"/>
      <c r="I672" s="95"/>
      <c r="J672" s="95"/>
      <c r="K672" s="95"/>
      <c r="L672" s="95"/>
      <c r="M672" s="95"/>
      <c r="N672" s="95"/>
      <c r="O672" s="95"/>
      <c r="P672" s="95"/>
    </row>
    <row r="673" spans="1:76" s="81" customFormat="1" x14ac:dyDescent="0.25">
      <c r="A673" s="110"/>
      <c r="B673" s="95"/>
      <c r="C673" s="95"/>
      <c r="D673" s="76" t="s">
        <v>54</v>
      </c>
      <c r="E673" s="76" t="s">
        <v>443</v>
      </c>
      <c r="F673" s="95"/>
      <c r="G673" s="96">
        <v>0</v>
      </c>
      <c r="H673" s="95"/>
      <c r="I673" s="95"/>
      <c r="J673" s="95"/>
      <c r="K673" s="95"/>
      <c r="L673" s="95"/>
      <c r="M673" s="95"/>
      <c r="N673" s="95"/>
      <c r="O673" s="95"/>
      <c r="P673" s="95"/>
    </row>
    <row r="674" spans="1:76" s="81" customFormat="1" x14ac:dyDescent="0.25">
      <c r="A674" s="110"/>
      <c r="B674" s="95"/>
      <c r="C674" s="95"/>
      <c r="D674" s="76" t="s">
        <v>838</v>
      </c>
      <c r="E674" s="76" t="s">
        <v>839</v>
      </c>
      <c r="F674" s="95"/>
      <c r="G674" s="96">
        <v>235.48544999999999</v>
      </c>
      <c r="H674" s="95"/>
      <c r="I674" s="95"/>
      <c r="J674" s="95"/>
      <c r="K674" s="95"/>
      <c r="L674" s="95"/>
      <c r="M674" s="95"/>
      <c r="N674" s="95"/>
      <c r="O674" s="95"/>
      <c r="P674" s="95"/>
    </row>
    <row r="675" spans="1:76" s="81" customFormat="1" x14ac:dyDescent="0.25">
      <c r="A675" s="110"/>
      <c r="B675" s="95"/>
      <c r="C675" s="95"/>
      <c r="D675" s="76" t="s">
        <v>840</v>
      </c>
      <c r="E675" s="76" t="s">
        <v>841</v>
      </c>
      <c r="F675" s="95"/>
      <c r="G675" s="96">
        <v>31.638249999999999</v>
      </c>
      <c r="H675" s="95"/>
      <c r="I675" s="95"/>
      <c r="J675" s="95"/>
      <c r="K675" s="95"/>
      <c r="L675" s="95"/>
      <c r="M675" s="95"/>
      <c r="N675" s="95"/>
      <c r="O675" s="95"/>
      <c r="P675" s="95"/>
    </row>
    <row r="676" spans="1:76" s="81" customFormat="1" x14ac:dyDescent="0.25">
      <c r="A676" s="110"/>
      <c r="B676" s="95"/>
      <c r="C676" s="95"/>
      <c r="D676" s="76" t="s">
        <v>842</v>
      </c>
      <c r="E676" s="76" t="s">
        <v>843</v>
      </c>
      <c r="F676" s="95"/>
      <c r="G676" s="96">
        <v>10.151999999999999</v>
      </c>
      <c r="H676" s="95"/>
      <c r="I676" s="95"/>
      <c r="J676" s="95"/>
      <c r="K676" s="95"/>
      <c r="L676" s="95"/>
      <c r="M676" s="95"/>
      <c r="N676" s="95"/>
      <c r="O676" s="95"/>
      <c r="P676" s="95"/>
    </row>
    <row r="677" spans="1:76" s="81" customFormat="1" x14ac:dyDescent="0.25">
      <c r="A677" s="109" t="s">
        <v>54</v>
      </c>
      <c r="B677" s="74" t="s">
        <v>55</v>
      </c>
      <c r="C677" s="74" t="s">
        <v>466</v>
      </c>
      <c r="D677" s="180" t="s">
        <v>844</v>
      </c>
      <c r="E677" s="180"/>
      <c r="F677" s="85" t="s">
        <v>4</v>
      </c>
      <c r="G677" s="85" t="s">
        <v>4</v>
      </c>
      <c r="H677" s="85" t="s">
        <v>4</v>
      </c>
      <c r="I677" s="85" t="s">
        <v>4</v>
      </c>
      <c r="J677" s="86">
        <f>SUM(J678:J681)</f>
        <v>0</v>
      </c>
      <c r="K677" s="86">
        <f>SUM(K678:K681)</f>
        <v>0</v>
      </c>
      <c r="L677" s="86">
        <f>SUM(L678:L681)</f>
        <v>0</v>
      </c>
      <c r="M677" s="86">
        <f>SUM(M678:M681)</f>
        <v>0</v>
      </c>
      <c r="N677" s="87" t="s">
        <v>54</v>
      </c>
      <c r="O677" s="86">
        <f>SUM(O678:O681)</f>
        <v>66.628886999999992</v>
      </c>
      <c r="P677" s="87" t="s">
        <v>54</v>
      </c>
      <c r="AI677" s="88" t="s">
        <v>55</v>
      </c>
      <c r="AS677" s="89">
        <f>SUM(AJ678:AJ681)</f>
        <v>0</v>
      </c>
      <c r="AT677" s="89">
        <f>SUM(AK678:AK681)</f>
        <v>0</v>
      </c>
      <c r="AU677" s="89">
        <f>SUM(AL678:AL681)</f>
        <v>0</v>
      </c>
    </row>
    <row r="678" spans="1:76" s="81" customFormat="1" x14ac:dyDescent="0.25">
      <c r="A678" s="66" t="s">
        <v>845</v>
      </c>
      <c r="B678" s="72" t="s">
        <v>55</v>
      </c>
      <c r="C678" s="72" t="s">
        <v>846</v>
      </c>
      <c r="D678" s="174" t="s">
        <v>847</v>
      </c>
      <c r="E678" s="174"/>
      <c r="F678" s="72" t="s">
        <v>192</v>
      </c>
      <c r="G678" s="90">
        <v>76.497</v>
      </c>
      <c r="H678" s="91"/>
      <c r="I678" s="92" t="s">
        <v>63</v>
      </c>
      <c r="J678" s="90">
        <f>G678*AO678</f>
        <v>0</v>
      </c>
      <c r="K678" s="90">
        <f>G678*AP678</f>
        <v>0</v>
      </c>
      <c r="L678" s="90">
        <f>G678*H678</f>
        <v>0</v>
      </c>
      <c r="M678" s="90">
        <f>L678*(1+BW678/100)</f>
        <v>0</v>
      </c>
      <c r="N678" s="90">
        <v>0.43</v>
      </c>
      <c r="O678" s="90">
        <f>G678*N678</f>
        <v>32.893709999999999</v>
      </c>
      <c r="P678" s="92" t="s">
        <v>64</v>
      </c>
      <c r="Z678" s="93">
        <f>IF(AQ678="5",BJ678,0)</f>
        <v>0</v>
      </c>
      <c r="AB678" s="93">
        <f>IF(AQ678="1",BH678,0)</f>
        <v>0</v>
      </c>
      <c r="AC678" s="93">
        <f>IF(AQ678="1",BI678,0)</f>
        <v>0</v>
      </c>
      <c r="AD678" s="93">
        <f>IF(AQ678="7",BH678,0)</f>
        <v>0</v>
      </c>
      <c r="AE678" s="93">
        <f>IF(AQ678="7",BI678,0)</f>
        <v>0</v>
      </c>
      <c r="AF678" s="93">
        <f>IF(AQ678="2",BH678,0)</f>
        <v>0</v>
      </c>
      <c r="AG678" s="93">
        <f>IF(AQ678="2",BI678,0)</f>
        <v>0</v>
      </c>
      <c r="AH678" s="93">
        <f>IF(AQ678="0",BJ678,0)</f>
        <v>0</v>
      </c>
      <c r="AI678" s="88" t="s">
        <v>55</v>
      </c>
      <c r="AJ678" s="93">
        <f>IF(AN678=0,L678,0)</f>
        <v>0</v>
      </c>
      <c r="AK678" s="93">
        <f>IF(AN678=12,L678,0)</f>
        <v>0</v>
      </c>
      <c r="AL678" s="93">
        <f>IF(AN678=21,L678,0)</f>
        <v>0</v>
      </c>
      <c r="AN678" s="93">
        <v>21</v>
      </c>
      <c r="AO678" s="93">
        <f>H678*0.875652022</f>
        <v>0</v>
      </c>
      <c r="AP678" s="93">
        <f>H678*(1-0.875652022)</f>
        <v>0</v>
      </c>
      <c r="AQ678" s="94" t="s">
        <v>59</v>
      </c>
      <c r="AV678" s="93">
        <f>AW678+AX678</f>
        <v>0</v>
      </c>
      <c r="AW678" s="93">
        <f>G678*AO678</f>
        <v>0</v>
      </c>
      <c r="AX678" s="93">
        <f>G678*AP678</f>
        <v>0</v>
      </c>
      <c r="AY678" s="94" t="s">
        <v>848</v>
      </c>
      <c r="AZ678" s="94" t="s">
        <v>849</v>
      </c>
      <c r="BA678" s="88" t="s">
        <v>67</v>
      </c>
      <c r="BC678" s="93">
        <f>AW678+AX678</f>
        <v>0</v>
      </c>
      <c r="BD678" s="93">
        <f>H678/(100-BE678)*100</f>
        <v>0</v>
      </c>
      <c r="BE678" s="93">
        <v>0</v>
      </c>
      <c r="BF678" s="93">
        <f>O678</f>
        <v>32.893709999999999</v>
      </c>
      <c r="BH678" s="93">
        <f>G678*AO678</f>
        <v>0</v>
      </c>
      <c r="BI678" s="93">
        <f>G678*AP678</f>
        <v>0</v>
      </c>
      <c r="BJ678" s="93">
        <f>G678*H678</f>
        <v>0</v>
      </c>
      <c r="BK678" s="93"/>
      <c r="BL678" s="93">
        <v>56</v>
      </c>
      <c r="BW678" s="93" t="str">
        <f>I678</f>
        <v>21</v>
      </c>
      <c r="BX678" s="2" t="s">
        <v>847</v>
      </c>
    </row>
    <row r="679" spans="1:76" s="81" customFormat="1" x14ac:dyDescent="0.25">
      <c r="A679" s="110"/>
      <c r="B679" s="95"/>
      <c r="C679" s="95"/>
      <c r="D679" s="76" t="s">
        <v>54</v>
      </c>
      <c r="E679" s="76" t="s">
        <v>215</v>
      </c>
      <c r="F679" s="95"/>
      <c r="G679" s="96">
        <v>0</v>
      </c>
      <c r="H679" s="97"/>
      <c r="I679" s="95"/>
      <c r="J679" s="95"/>
      <c r="K679" s="95"/>
      <c r="L679" s="95"/>
      <c r="M679" s="95"/>
      <c r="N679" s="95"/>
      <c r="O679" s="95"/>
      <c r="P679" s="95"/>
    </row>
    <row r="680" spans="1:76" s="81" customFormat="1" x14ac:dyDescent="0.25">
      <c r="A680" s="110"/>
      <c r="B680" s="95"/>
      <c r="C680" s="95"/>
      <c r="D680" s="76" t="s">
        <v>850</v>
      </c>
      <c r="E680" s="76" t="s">
        <v>851</v>
      </c>
      <c r="F680" s="95"/>
      <c r="G680" s="96">
        <v>76.497</v>
      </c>
      <c r="H680" s="97"/>
      <c r="I680" s="95"/>
      <c r="J680" s="95"/>
      <c r="K680" s="95"/>
      <c r="L680" s="95"/>
      <c r="M680" s="95"/>
      <c r="N680" s="95"/>
      <c r="O680" s="95"/>
      <c r="P680" s="95"/>
    </row>
    <row r="681" spans="1:76" s="81" customFormat="1" x14ac:dyDescent="0.25">
      <c r="A681" s="66" t="s">
        <v>852</v>
      </c>
      <c r="B681" s="72" t="s">
        <v>55</v>
      </c>
      <c r="C681" s="72" t="s">
        <v>853</v>
      </c>
      <c r="D681" s="174" t="s">
        <v>854</v>
      </c>
      <c r="E681" s="174"/>
      <c r="F681" s="72" t="s">
        <v>192</v>
      </c>
      <c r="G681" s="90">
        <v>76.497</v>
      </c>
      <c r="H681" s="91"/>
      <c r="I681" s="92" t="s">
        <v>63</v>
      </c>
      <c r="J681" s="90">
        <f>G681*AO681</f>
        <v>0</v>
      </c>
      <c r="K681" s="90">
        <f>G681*AP681</f>
        <v>0</v>
      </c>
      <c r="L681" s="90">
        <f>G681*H681</f>
        <v>0</v>
      </c>
      <c r="M681" s="90">
        <f>L681*(1+BW681/100)</f>
        <v>0</v>
      </c>
      <c r="N681" s="90">
        <v>0.441</v>
      </c>
      <c r="O681" s="90">
        <f>G681*N681</f>
        <v>33.735177</v>
      </c>
      <c r="P681" s="92" t="s">
        <v>64</v>
      </c>
      <c r="Z681" s="93">
        <f>IF(AQ681="5",BJ681,0)</f>
        <v>0</v>
      </c>
      <c r="AB681" s="93">
        <f>IF(AQ681="1",BH681,0)</f>
        <v>0</v>
      </c>
      <c r="AC681" s="93">
        <f>IF(AQ681="1",BI681,0)</f>
        <v>0</v>
      </c>
      <c r="AD681" s="93">
        <f>IF(AQ681="7",BH681,0)</f>
        <v>0</v>
      </c>
      <c r="AE681" s="93">
        <f>IF(AQ681="7",BI681,0)</f>
        <v>0</v>
      </c>
      <c r="AF681" s="93">
        <f>IF(AQ681="2",BH681,0)</f>
        <v>0</v>
      </c>
      <c r="AG681" s="93">
        <f>IF(AQ681="2",BI681,0)</f>
        <v>0</v>
      </c>
      <c r="AH681" s="93">
        <f>IF(AQ681="0",BJ681,0)</f>
        <v>0</v>
      </c>
      <c r="AI681" s="88" t="s">
        <v>55</v>
      </c>
      <c r="AJ681" s="93">
        <f>IF(AN681=0,L681,0)</f>
        <v>0</v>
      </c>
      <c r="AK681" s="93">
        <f>IF(AN681=12,L681,0)</f>
        <v>0</v>
      </c>
      <c r="AL681" s="93">
        <f>IF(AN681=21,L681,0)</f>
        <v>0</v>
      </c>
      <c r="AN681" s="93">
        <v>21</v>
      </c>
      <c r="AO681" s="93">
        <f>H681*0.853668974</f>
        <v>0</v>
      </c>
      <c r="AP681" s="93">
        <f>H681*(1-0.853668974)</f>
        <v>0</v>
      </c>
      <c r="AQ681" s="94" t="s">
        <v>59</v>
      </c>
      <c r="AV681" s="93">
        <f>AW681+AX681</f>
        <v>0</v>
      </c>
      <c r="AW681" s="93">
        <f>G681*AO681</f>
        <v>0</v>
      </c>
      <c r="AX681" s="93">
        <f>G681*AP681</f>
        <v>0</v>
      </c>
      <c r="AY681" s="94" t="s">
        <v>848</v>
      </c>
      <c r="AZ681" s="94" t="s">
        <v>849</v>
      </c>
      <c r="BA681" s="88" t="s">
        <v>67</v>
      </c>
      <c r="BC681" s="93">
        <f>AW681+AX681</f>
        <v>0</v>
      </c>
      <c r="BD681" s="93">
        <f>H681/(100-BE681)*100</f>
        <v>0</v>
      </c>
      <c r="BE681" s="93">
        <v>0</v>
      </c>
      <c r="BF681" s="93">
        <f>O681</f>
        <v>33.735177</v>
      </c>
      <c r="BH681" s="93">
        <f>G681*AO681</f>
        <v>0</v>
      </c>
      <c r="BI681" s="93">
        <f>G681*AP681</f>
        <v>0</v>
      </c>
      <c r="BJ681" s="93">
        <f>G681*H681</f>
        <v>0</v>
      </c>
      <c r="BK681" s="93"/>
      <c r="BL681" s="93">
        <v>56</v>
      </c>
      <c r="BW681" s="93" t="str">
        <f>I681</f>
        <v>21</v>
      </c>
      <c r="BX681" s="2" t="s">
        <v>854</v>
      </c>
    </row>
    <row r="682" spans="1:76" s="81" customFormat="1" x14ac:dyDescent="0.25">
      <c r="A682" s="110"/>
      <c r="B682" s="95"/>
      <c r="C682" s="95"/>
      <c r="D682" s="76" t="s">
        <v>54</v>
      </c>
      <c r="E682" s="76" t="s">
        <v>215</v>
      </c>
      <c r="F682" s="95"/>
      <c r="G682" s="96">
        <v>0</v>
      </c>
      <c r="H682" s="97"/>
      <c r="I682" s="95"/>
      <c r="J682" s="95"/>
      <c r="K682" s="95"/>
      <c r="L682" s="95"/>
      <c r="M682" s="95"/>
      <c r="N682" s="95"/>
      <c r="O682" s="95"/>
      <c r="P682" s="95"/>
    </row>
    <row r="683" spans="1:76" s="81" customFormat="1" x14ac:dyDescent="0.25">
      <c r="A683" s="110"/>
      <c r="B683" s="95"/>
      <c r="C683" s="95"/>
      <c r="D683" s="76" t="s">
        <v>850</v>
      </c>
      <c r="E683" s="76" t="s">
        <v>851</v>
      </c>
      <c r="F683" s="95"/>
      <c r="G683" s="96">
        <v>76.497</v>
      </c>
      <c r="H683" s="97"/>
      <c r="I683" s="95"/>
      <c r="J683" s="95"/>
      <c r="K683" s="95"/>
      <c r="L683" s="95"/>
      <c r="M683" s="95"/>
      <c r="N683" s="95"/>
      <c r="O683" s="95"/>
      <c r="P683" s="95"/>
    </row>
    <row r="684" spans="1:76" s="81" customFormat="1" x14ac:dyDescent="0.25">
      <c r="A684" s="109" t="s">
        <v>54</v>
      </c>
      <c r="B684" s="74" t="s">
        <v>55</v>
      </c>
      <c r="C684" s="74" t="s">
        <v>525</v>
      </c>
      <c r="D684" s="180" t="s">
        <v>855</v>
      </c>
      <c r="E684" s="180"/>
      <c r="F684" s="85" t="s">
        <v>4</v>
      </c>
      <c r="G684" s="85" t="s">
        <v>4</v>
      </c>
      <c r="H684" s="98"/>
      <c r="I684" s="85" t="s">
        <v>4</v>
      </c>
      <c r="J684" s="86">
        <f>SUM(J685:J687)</f>
        <v>0</v>
      </c>
      <c r="K684" s="86">
        <f>SUM(K685:K687)</f>
        <v>0</v>
      </c>
      <c r="L684" s="86">
        <f>SUM(L685:L687)</f>
        <v>0</v>
      </c>
      <c r="M684" s="86">
        <f>SUM(M685:M687)</f>
        <v>0</v>
      </c>
      <c r="N684" s="87" t="s">
        <v>54</v>
      </c>
      <c r="O684" s="86">
        <f>SUM(O685:O687)</f>
        <v>20.041604580000001</v>
      </c>
      <c r="P684" s="87" t="s">
        <v>54</v>
      </c>
      <c r="AI684" s="88" t="s">
        <v>55</v>
      </c>
      <c r="AS684" s="89">
        <f>SUM(AJ685:AJ687)</f>
        <v>0</v>
      </c>
      <c r="AT684" s="89">
        <f>SUM(AK685:AK687)</f>
        <v>0</v>
      </c>
      <c r="AU684" s="89">
        <f>SUM(AL685:AL687)</f>
        <v>0</v>
      </c>
    </row>
    <row r="685" spans="1:76" s="81" customFormat="1" ht="25.5" x14ac:dyDescent="0.25">
      <c r="A685" s="66" t="s">
        <v>856</v>
      </c>
      <c r="B685" s="72" t="s">
        <v>55</v>
      </c>
      <c r="C685" s="72" t="s">
        <v>857</v>
      </c>
      <c r="D685" s="174" t="s">
        <v>858</v>
      </c>
      <c r="E685" s="174"/>
      <c r="F685" s="72" t="s">
        <v>213</v>
      </c>
      <c r="G685" s="90">
        <v>72.13</v>
      </c>
      <c r="H685" s="91"/>
      <c r="I685" s="92" t="s">
        <v>63</v>
      </c>
      <c r="J685" s="90">
        <f>G685*AO685</f>
        <v>0</v>
      </c>
      <c r="K685" s="90">
        <f>G685*AP685</f>
        <v>0</v>
      </c>
      <c r="L685" s="90">
        <f>G685*H685</f>
        <v>0</v>
      </c>
      <c r="M685" s="90">
        <f>L685*(1+BW685/100)</f>
        <v>0</v>
      </c>
      <c r="N685" s="90">
        <v>9.4500000000000001E-2</v>
      </c>
      <c r="O685" s="90">
        <f>G685*N685</f>
        <v>6.8162849999999997</v>
      </c>
      <c r="P685" s="92" t="s">
        <v>371</v>
      </c>
      <c r="Z685" s="93">
        <f>IF(AQ685="5",BJ685,0)</f>
        <v>0</v>
      </c>
      <c r="AB685" s="93">
        <f>IF(AQ685="1",BH685,0)</f>
        <v>0</v>
      </c>
      <c r="AC685" s="93">
        <f>IF(AQ685="1",BI685,0)</f>
        <v>0</v>
      </c>
      <c r="AD685" s="93">
        <f>IF(AQ685="7",BH685,0)</f>
        <v>0</v>
      </c>
      <c r="AE685" s="93">
        <f>IF(AQ685="7",BI685,0)</f>
        <v>0</v>
      </c>
      <c r="AF685" s="93">
        <f>IF(AQ685="2",BH685,0)</f>
        <v>0</v>
      </c>
      <c r="AG685" s="93">
        <f>IF(AQ685="2",BI685,0)</f>
        <v>0</v>
      </c>
      <c r="AH685" s="93">
        <f>IF(AQ685="0",BJ685,0)</f>
        <v>0</v>
      </c>
      <c r="AI685" s="88" t="s">
        <v>55</v>
      </c>
      <c r="AJ685" s="93">
        <f>IF(AN685=0,L685,0)</f>
        <v>0</v>
      </c>
      <c r="AK685" s="93">
        <f>IF(AN685=12,L685,0)</f>
        <v>0</v>
      </c>
      <c r="AL685" s="93">
        <f>IF(AN685=21,L685,0)</f>
        <v>0</v>
      </c>
      <c r="AN685" s="93">
        <v>21</v>
      </c>
      <c r="AO685" s="93">
        <f>H685*0.948248005</f>
        <v>0</v>
      </c>
      <c r="AP685" s="93">
        <f>H685*(1-0.948248005)</f>
        <v>0</v>
      </c>
      <c r="AQ685" s="94" t="s">
        <v>59</v>
      </c>
      <c r="AV685" s="93">
        <f>AW685+AX685</f>
        <v>0</v>
      </c>
      <c r="AW685" s="93">
        <f>G685*AO685</f>
        <v>0</v>
      </c>
      <c r="AX685" s="93">
        <f>G685*AP685</f>
        <v>0</v>
      </c>
      <c r="AY685" s="94" t="s">
        <v>859</v>
      </c>
      <c r="AZ685" s="94" t="s">
        <v>849</v>
      </c>
      <c r="BA685" s="88" t="s">
        <v>67</v>
      </c>
      <c r="BC685" s="93">
        <f>AW685+AX685</f>
        <v>0</v>
      </c>
      <c r="BD685" s="93">
        <f>H685/(100-BE685)*100</f>
        <v>0</v>
      </c>
      <c r="BE685" s="93">
        <v>0</v>
      </c>
      <c r="BF685" s="93">
        <f>O685</f>
        <v>6.8162849999999997</v>
      </c>
      <c r="BH685" s="93">
        <f>G685*AO685</f>
        <v>0</v>
      </c>
      <c r="BI685" s="93">
        <f>G685*AP685</f>
        <v>0</v>
      </c>
      <c r="BJ685" s="93">
        <f>G685*H685</f>
        <v>0</v>
      </c>
      <c r="BK685" s="93"/>
      <c r="BL685" s="93">
        <v>59</v>
      </c>
      <c r="BW685" s="93" t="str">
        <f>I685</f>
        <v>21</v>
      </c>
      <c r="BX685" s="2" t="s">
        <v>858</v>
      </c>
    </row>
    <row r="686" spans="1:76" s="81" customFormat="1" x14ac:dyDescent="0.25">
      <c r="A686" s="110"/>
      <c r="B686" s="95"/>
      <c r="C686" s="95"/>
      <c r="D686" s="76" t="s">
        <v>860</v>
      </c>
      <c r="E686" s="76" t="s">
        <v>861</v>
      </c>
      <c r="F686" s="95"/>
      <c r="G686" s="96">
        <v>72.13</v>
      </c>
      <c r="H686" s="97"/>
      <c r="I686" s="95"/>
      <c r="J686" s="95"/>
      <c r="K686" s="95"/>
      <c r="L686" s="95"/>
      <c r="M686" s="95"/>
      <c r="N686" s="95"/>
      <c r="O686" s="95"/>
      <c r="P686" s="95"/>
    </row>
    <row r="687" spans="1:76" s="81" customFormat="1" ht="25.5" x14ac:dyDescent="0.25">
      <c r="A687" s="66" t="s">
        <v>862</v>
      </c>
      <c r="B687" s="72" t="s">
        <v>55</v>
      </c>
      <c r="C687" s="72" t="s">
        <v>863</v>
      </c>
      <c r="D687" s="174" t="s">
        <v>864</v>
      </c>
      <c r="E687" s="174"/>
      <c r="F687" s="72" t="s">
        <v>213</v>
      </c>
      <c r="G687" s="90">
        <v>53.427</v>
      </c>
      <c r="H687" s="91"/>
      <c r="I687" s="92" t="s">
        <v>63</v>
      </c>
      <c r="J687" s="90">
        <f>G687*AO687</f>
        <v>0</v>
      </c>
      <c r="K687" s="90">
        <f>G687*AP687</f>
        <v>0</v>
      </c>
      <c r="L687" s="90">
        <f>G687*H687</f>
        <v>0</v>
      </c>
      <c r="M687" s="90">
        <f>L687*(1+BW687/100)</f>
        <v>0</v>
      </c>
      <c r="N687" s="90">
        <v>0.24754000000000001</v>
      </c>
      <c r="O687" s="90">
        <f>G687*N687</f>
        <v>13.225319580000001</v>
      </c>
      <c r="P687" s="92" t="s">
        <v>371</v>
      </c>
      <c r="Z687" s="93">
        <f>IF(AQ687="5",BJ687,0)</f>
        <v>0</v>
      </c>
      <c r="AB687" s="93">
        <f>IF(AQ687="1",BH687,0)</f>
        <v>0</v>
      </c>
      <c r="AC687" s="93">
        <f>IF(AQ687="1",BI687,0)</f>
        <v>0</v>
      </c>
      <c r="AD687" s="93">
        <f>IF(AQ687="7",BH687,0)</f>
        <v>0</v>
      </c>
      <c r="AE687" s="93">
        <f>IF(AQ687="7",BI687,0)</f>
        <v>0</v>
      </c>
      <c r="AF687" s="93">
        <f>IF(AQ687="2",BH687,0)</f>
        <v>0</v>
      </c>
      <c r="AG687" s="93">
        <f>IF(AQ687="2",BI687,0)</f>
        <v>0</v>
      </c>
      <c r="AH687" s="93">
        <f>IF(AQ687="0",BJ687,0)</f>
        <v>0</v>
      </c>
      <c r="AI687" s="88" t="s">
        <v>55</v>
      </c>
      <c r="AJ687" s="93">
        <f>IF(AN687=0,L687,0)</f>
        <v>0</v>
      </c>
      <c r="AK687" s="93">
        <f>IF(AN687=12,L687,0)</f>
        <v>0</v>
      </c>
      <c r="AL687" s="93">
        <f>IF(AN687=21,L687,0)</f>
        <v>0</v>
      </c>
      <c r="AN687" s="93">
        <v>21</v>
      </c>
      <c r="AO687" s="93">
        <f>H687*0.95562329</f>
        <v>0</v>
      </c>
      <c r="AP687" s="93">
        <f>H687*(1-0.95562329)</f>
        <v>0</v>
      </c>
      <c r="AQ687" s="94" t="s">
        <v>59</v>
      </c>
      <c r="AV687" s="93">
        <f>AW687+AX687</f>
        <v>0</v>
      </c>
      <c r="AW687" s="93">
        <f>G687*AO687</f>
        <v>0</v>
      </c>
      <c r="AX687" s="93">
        <f>G687*AP687</f>
        <v>0</v>
      </c>
      <c r="AY687" s="94" t="s">
        <v>859</v>
      </c>
      <c r="AZ687" s="94" t="s">
        <v>849</v>
      </c>
      <c r="BA687" s="88" t="s">
        <v>67</v>
      </c>
      <c r="BC687" s="93">
        <f>AW687+AX687</f>
        <v>0</v>
      </c>
      <c r="BD687" s="93">
        <f>H687/(100-BE687)*100</f>
        <v>0</v>
      </c>
      <c r="BE687" s="93">
        <v>0</v>
      </c>
      <c r="BF687" s="93">
        <f>O687</f>
        <v>13.225319580000001</v>
      </c>
      <c r="BH687" s="93">
        <f>G687*AO687</f>
        <v>0</v>
      </c>
      <c r="BI687" s="93">
        <f>G687*AP687</f>
        <v>0</v>
      </c>
      <c r="BJ687" s="93">
        <f>G687*H687</f>
        <v>0</v>
      </c>
      <c r="BK687" s="93"/>
      <c r="BL687" s="93">
        <v>59</v>
      </c>
      <c r="BW687" s="93" t="str">
        <f>I687</f>
        <v>21</v>
      </c>
      <c r="BX687" s="2" t="s">
        <v>864</v>
      </c>
    </row>
    <row r="688" spans="1:76" s="81" customFormat="1" x14ac:dyDescent="0.25">
      <c r="A688" s="110"/>
      <c r="B688" s="95"/>
      <c r="C688" s="95"/>
      <c r="D688" s="76" t="s">
        <v>54</v>
      </c>
      <c r="E688" s="76" t="s">
        <v>215</v>
      </c>
      <c r="F688" s="95"/>
      <c r="G688" s="96">
        <v>0</v>
      </c>
      <c r="H688" s="97"/>
      <c r="I688" s="95"/>
      <c r="J688" s="95"/>
      <c r="K688" s="95"/>
      <c r="L688" s="95"/>
      <c r="M688" s="95"/>
      <c r="N688" s="95"/>
      <c r="O688" s="95"/>
      <c r="P688" s="95"/>
    </row>
    <row r="689" spans="1:76" s="81" customFormat="1" x14ac:dyDescent="0.25">
      <c r="A689" s="110"/>
      <c r="B689" s="95"/>
      <c r="C689" s="95"/>
      <c r="D689" s="76" t="s">
        <v>865</v>
      </c>
      <c r="E689" s="76" t="s">
        <v>54</v>
      </c>
      <c r="F689" s="95"/>
      <c r="G689" s="96">
        <v>53.427</v>
      </c>
      <c r="H689" s="97"/>
      <c r="I689" s="95"/>
      <c r="J689" s="95"/>
      <c r="K689" s="95"/>
      <c r="L689" s="95"/>
      <c r="M689" s="95"/>
      <c r="N689" s="95"/>
      <c r="O689" s="95"/>
      <c r="P689" s="95"/>
    </row>
    <row r="690" spans="1:76" s="81" customFormat="1" x14ac:dyDescent="0.25">
      <c r="A690" s="109" t="s">
        <v>54</v>
      </c>
      <c r="B690" s="74" t="s">
        <v>55</v>
      </c>
      <c r="C690" s="74" t="s">
        <v>533</v>
      </c>
      <c r="D690" s="180" t="s">
        <v>866</v>
      </c>
      <c r="E690" s="180"/>
      <c r="F690" s="85" t="s">
        <v>4</v>
      </c>
      <c r="G690" s="85" t="s">
        <v>4</v>
      </c>
      <c r="H690" s="98"/>
      <c r="I690" s="85" t="s">
        <v>4</v>
      </c>
      <c r="J690" s="86">
        <f>SUM(J691:J860)</f>
        <v>0</v>
      </c>
      <c r="K690" s="86">
        <f>SUM(K691:K860)</f>
        <v>0</v>
      </c>
      <c r="L690" s="86">
        <f>SUM(L691:L860)</f>
        <v>0</v>
      </c>
      <c r="M690" s="86">
        <f>SUM(M691:M860)</f>
        <v>0</v>
      </c>
      <c r="N690" s="87" t="s">
        <v>54</v>
      </c>
      <c r="O690" s="86">
        <f>SUM(O691:O860)</f>
        <v>78.217931426800007</v>
      </c>
      <c r="P690" s="87" t="s">
        <v>54</v>
      </c>
      <c r="AI690" s="88" t="s">
        <v>55</v>
      </c>
      <c r="AS690" s="89">
        <f>SUM(AJ691:AJ860)</f>
        <v>0</v>
      </c>
      <c r="AT690" s="89">
        <f>SUM(AK691:AK860)</f>
        <v>0</v>
      </c>
      <c r="AU690" s="89">
        <f>SUM(AL691:AL860)</f>
        <v>0</v>
      </c>
    </row>
    <row r="691" spans="1:76" s="81" customFormat="1" ht="25.5" x14ac:dyDescent="0.25">
      <c r="A691" s="66" t="s">
        <v>867</v>
      </c>
      <c r="B691" s="72" t="s">
        <v>55</v>
      </c>
      <c r="C691" s="72" t="s">
        <v>868</v>
      </c>
      <c r="D691" s="174" t="s">
        <v>869</v>
      </c>
      <c r="E691" s="174"/>
      <c r="F691" s="72" t="s">
        <v>192</v>
      </c>
      <c r="G691" s="90">
        <v>6.5663999999999998</v>
      </c>
      <c r="H691" s="91"/>
      <c r="I691" s="92" t="s">
        <v>63</v>
      </c>
      <c r="J691" s="90">
        <f>G691*AO691</f>
        <v>0</v>
      </c>
      <c r="K691" s="90">
        <f>G691*AP691</f>
        <v>0</v>
      </c>
      <c r="L691" s="90">
        <f>G691*H691</f>
        <v>0</v>
      </c>
      <c r="M691" s="90">
        <f>L691*(1+BW691/100)</f>
        <v>0</v>
      </c>
      <c r="N691" s="90">
        <v>2.3099999999999999E-2</v>
      </c>
      <c r="O691" s="90">
        <f>G691*N691</f>
        <v>0.15168383999999999</v>
      </c>
      <c r="P691" s="92" t="s">
        <v>64</v>
      </c>
      <c r="Z691" s="93">
        <f>IF(AQ691="5",BJ691,0)</f>
        <v>0</v>
      </c>
      <c r="AB691" s="93">
        <f>IF(AQ691="1",BH691,0)</f>
        <v>0</v>
      </c>
      <c r="AC691" s="93">
        <f>IF(AQ691="1",BI691,0)</f>
        <v>0</v>
      </c>
      <c r="AD691" s="93">
        <f>IF(AQ691="7",BH691,0)</f>
        <v>0</v>
      </c>
      <c r="AE691" s="93">
        <f>IF(AQ691="7",BI691,0)</f>
        <v>0</v>
      </c>
      <c r="AF691" s="93">
        <f>IF(AQ691="2",BH691,0)</f>
        <v>0</v>
      </c>
      <c r="AG691" s="93">
        <f>IF(AQ691="2",BI691,0)</f>
        <v>0</v>
      </c>
      <c r="AH691" s="93">
        <f>IF(AQ691="0",BJ691,0)</f>
        <v>0</v>
      </c>
      <c r="AI691" s="88" t="s">
        <v>55</v>
      </c>
      <c r="AJ691" s="93">
        <f>IF(AN691=0,L691,0)</f>
        <v>0</v>
      </c>
      <c r="AK691" s="93">
        <f>IF(AN691=12,L691,0)</f>
        <v>0</v>
      </c>
      <c r="AL691" s="93">
        <f>IF(AN691=21,L691,0)</f>
        <v>0</v>
      </c>
      <c r="AN691" s="93">
        <v>21</v>
      </c>
      <c r="AO691" s="93">
        <f>H691*0.651721829</f>
        <v>0</v>
      </c>
      <c r="AP691" s="93">
        <f>H691*(1-0.651721829)</f>
        <v>0</v>
      </c>
      <c r="AQ691" s="94" t="s">
        <v>59</v>
      </c>
      <c r="AV691" s="93">
        <f>AW691+AX691</f>
        <v>0</v>
      </c>
      <c r="AW691" s="93">
        <f>G691*AO691</f>
        <v>0</v>
      </c>
      <c r="AX691" s="93">
        <f>G691*AP691</f>
        <v>0</v>
      </c>
      <c r="AY691" s="94" t="s">
        <v>870</v>
      </c>
      <c r="AZ691" s="94" t="s">
        <v>871</v>
      </c>
      <c r="BA691" s="88" t="s">
        <v>67</v>
      </c>
      <c r="BC691" s="93">
        <f>AW691+AX691</f>
        <v>0</v>
      </c>
      <c r="BD691" s="93">
        <f>H691/(100-BE691)*100</f>
        <v>0</v>
      </c>
      <c r="BE691" s="93">
        <v>0</v>
      </c>
      <c r="BF691" s="93">
        <f>O691</f>
        <v>0.15168383999999999</v>
      </c>
      <c r="BH691" s="93">
        <f>G691*AO691</f>
        <v>0</v>
      </c>
      <c r="BI691" s="93">
        <f>G691*AP691</f>
        <v>0</v>
      </c>
      <c r="BJ691" s="93">
        <f>G691*H691</f>
        <v>0</v>
      </c>
      <c r="BK691" s="93"/>
      <c r="BL691" s="93">
        <v>60</v>
      </c>
      <c r="BW691" s="93" t="str">
        <f>I691</f>
        <v>21</v>
      </c>
      <c r="BX691" s="2" t="s">
        <v>869</v>
      </c>
    </row>
    <row r="692" spans="1:76" s="81" customFormat="1" x14ac:dyDescent="0.25">
      <c r="A692" s="110"/>
      <c r="B692" s="95"/>
      <c r="C692" s="95"/>
      <c r="D692" s="76" t="s">
        <v>872</v>
      </c>
      <c r="E692" s="76" t="s">
        <v>579</v>
      </c>
      <c r="F692" s="95"/>
      <c r="G692" s="96">
        <v>6.5663999999999998</v>
      </c>
      <c r="H692" s="97"/>
      <c r="I692" s="95"/>
      <c r="J692" s="95"/>
      <c r="K692" s="95"/>
      <c r="L692" s="95"/>
      <c r="M692" s="95"/>
      <c r="N692" s="95"/>
      <c r="O692" s="95"/>
      <c r="P692" s="95"/>
    </row>
    <row r="693" spans="1:76" s="81" customFormat="1" x14ac:dyDescent="0.25">
      <c r="A693" s="66" t="s">
        <v>873</v>
      </c>
      <c r="B693" s="72" t="s">
        <v>55</v>
      </c>
      <c r="C693" s="72" t="s">
        <v>874</v>
      </c>
      <c r="D693" s="174" t="s">
        <v>875</v>
      </c>
      <c r="E693" s="174"/>
      <c r="F693" s="72" t="s">
        <v>192</v>
      </c>
      <c r="G693" s="90">
        <v>494.9</v>
      </c>
      <c r="H693" s="91"/>
      <c r="I693" s="92" t="s">
        <v>63</v>
      </c>
      <c r="J693" s="90">
        <f>G693*AO693</f>
        <v>0</v>
      </c>
      <c r="K693" s="90">
        <f>G693*AP693</f>
        <v>0</v>
      </c>
      <c r="L693" s="90">
        <f>G693*H693</f>
        <v>0</v>
      </c>
      <c r="M693" s="90">
        <f>L693*(1+BW693/100)</f>
        <v>0</v>
      </c>
      <c r="N693" s="90">
        <v>1.8249999999999999E-2</v>
      </c>
      <c r="O693" s="90">
        <f>G693*N693</f>
        <v>9.0319249999999993</v>
      </c>
      <c r="P693" s="92" t="s">
        <v>64</v>
      </c>
      <c r="Z693" s="93">
        <f>IF(AQ693="5",BJ693,0)</f>
        <v>0</v>
      </c>
      <c r="AB693" s="93">
        <f>IF(AQ693="1",BH693,0)</f>
        <v>0</v>
      </c>
      <c r="AC693" s="93">
        <f>IF(AQ693="1",BI693,0)</f>
        <v>0</v>
      </c>
      <c r="AD693" s="93">
        <f>IF(AQ693="7",BH693,0)</f>
        <v>0</v>
      </c>
      <c r="AE693" s="93">
        <f>IF(AQ693="7",BI693,0)</f>
        <v>0</v>
      </c>
      <c r="AF693" s="93">
        <f>IF(AQ693="2",BH693,0)</f>
        <v>0</v>
      </c>
      <c r="AG693" s="93">
        <f>IF(AQ693="2",BI693,0)</f>
        <v>0</v>
      </c>
      <c r="AH693" s="93">
        <f>IF(AQ693="0",BJ693,0)</f>
        <v>0</v>
      </c>
      <c r="AI693" s="88" t="s">
        <v>55</v>
      </c>
      <c r="AJ693" s="93">
        <f>IF(AN693=0,L693,0)</f>
        <v>0</v>
      </c>
      <c r="AK693" s="93">
        <f>IF(AN693=12,L693,0)</f>
        <v>0</v>
      </c>
      <c r="AL693" s="93">
        <f>IF(AN693=21,L693,0)</f>
        <v>0</v>
      </c>
      <c r="AN693" s="93">
        <v>21</v>
      </c>
      <c r="AO693" s="93">
        <f>H693*0.344500632</f>
        <v>0</v>
      </c>
      <c r="AP693" s="93">
        <f>H693*(1-0.344500632)</f>
        <v>0</v>
      </c>
      <c r="AQ693" s="94" t="s">
        <v>59</v>
      </c>
      <c r="AV693" s="93">
        <f>AW693+AX693</f>
        <v>0</v>
      </c>
      <c r="AW693" s="93">
        <f>G693*AO693</f>
        <v>0</v>
      </c>
      <c r="AX693" s="93">
        <f>G693*AP693</f>
        <v>0</v>
      </c>
      <c r="AY693" s="94" t="s">
        <v>870</v>
      </c>
      <c r="AZ693" s="94" t="s">
        <v>871</v>
      </c>
      <c r="BA693" s="88" t="s">
        <v>67</v>
      </c>
      <c r="BC693" s="93">
        <f>AW693+AX693</f>
        <v>0</v>
      </c>
      <c r="BD693" s="93">
        <f>H693/(100-BE693)*100</f>
        <v>0</v>
      </c>
      <c r="BE693" s="93">
        <v>0</v>
      </c>
      <c r="BF693" s="93">
        <f>O693</f>
        <v>9.0319249999999993</v>
      </c>
      <c r="BH693" s="93">
        <f>G693*AO693</f>
        <v>0</v>
      </c>
      <c r="BI693" s="93">
        <f>G693*AP693</f>
        <v>0</v>
      </c>
      <c r="BJ693" s="93">
        <f>G693*H693</f>
        <v>0</v>
      </c>
      <c r="BK693" s="93"/>
      <c r="BL693" s="93">
        <v>60</v>
      </c>
      <c r="BW693" s="93" t="str">
        <f>I693</f>
        <v>21</v>
      </c>
      <c r="BX693" s="2" t="s">
        <v>875</v>
      </c>
    </row>
    <row r="694" spans="1:76" s="81" customFormat="1" ht="13.5" customHeight="1" x14ac:dyDescent="0.25">
      <c r="A694" s="110"/>
      <c r="B694" s="95"/>
      <c r="C694" s="95"/>
      <c r="D694" s="179" t="s">
        <v>876</v>
      </c>
      <c r="E694" s="179"/>
      <c r="F694" s="179"/>
      <c r="G694" s="179"/>
      <c r="H694" s="179"/>
      <c r="I694" s="179"/>
      <c r="J694" s="179"/>
      <c r="K694" s="179"/>
      <c r="L694" s="179"/>
      <c r="M694" s="179"/>
      <c r="N694" s="179"/>
      <c r="O694" s="179"/>
      <c r="P694" s="179"/>
    </row>
    <row r="695" spans="1:76" s="81" customFormat="1" x14ac:dyDescent="0.25">
      <c r="A695" s="110"/>
      <c r="B695" s="95"/>
      <c r="C695" s="95"/>
      <c r="D695" s="76" t="s">
        <v>54</v>
      </c>
      <c r="E695" s="76" t="s">
        <v>877</v>
      </c>
      <c r="F695" s="95"/>
      <c r="G695" s="96">
        <v>0</v>
      </c>
      <c r="H695" s="95"/>
      <c r="I695" s="95"/>
      <c r="J695" s="95"/>
      <c r="K695" s="95"/>
      <c r="L695" s="95"/>
      <c r="M695" s="95"/>
      <c r="N695" s="95"/>
      <c r="O695" s="95"/>
      <c r="P695" s="95"/>
    </row>
    <row r="696" spans="1:76" s="81" customFormat="1" x14ac:dyDescent="0.25">
      <c r="A696" s="110"/>
      <c r="B696" s="95"/>
      <c r="C696" s="95"/>
      <c r="D696" s="76" t="s">
        <v>878</v>
      </c>
      <c r="E696" s="76" t="s">
        <v>54</v>
      </c>
      <c r="F696" s="95"/>
      <c r="G696" s="96">
        <v>494.9</v>
      </c>
      <c r="H696" s="95"/>
      <c r="I696" s="95"/>
      <c r="J696" s="95"/>
      <c r="K696" s="95"/>
      <c r="L696" s="95"/>
      <c r="M696" s="95"/>
      <c r="N696" s="95"/>
      <c r="O696" s="95"/>
      <c r="P696" s="95"/>
    </row>
    <row r="697" spans="1:76" s="81" customFormat="1" x14ac:dyDescent="0.25">
      <c r="A697" s="66" t="s">
        <v>879</v>
      </c>
      <c r="B697" s="72" t="s">
        <v>55</v>
      </c>
      <c r="C697" s="72" t="s">
        <v>880</v>
      </c>
      <c r="D697" s="174" t="s">
        <v>881</v>
      </c>
      <c r="E697" s="174"/>
      <c r="F697" s="72" t="s">
        <v>192</v>
      </c>
      <c r="G697" s="90">
        <v>494.9</v>
      </c>
      <c r="H697" s="91"/>
      <c r="I697" s="92" t="s">
        <v>63</v>
      </c>
      <c r="J697" s="90">
        <f>G697*AO697</f>
        <v>0</v>
      </c>
      <c r="K697" s="90">
        <f>G697*AP697</f>
        <v>0</v>
      </c>
      <c r="L697" s="90">
        <f>G697*H697</f>
        <v>0</v>
      </c>
      <c r="M697" s="90">
        <f>L697*(1+BW697/100)</f>
        <v>0</v>
      </c>
      <c r="N697" s="90">
        <v>4.5500000000000002E-3</v>
      </c>
      <c r="O697" s="90">
        <f>G697*N697</f>
        <v>2.251795</v>
      </c>
      <c r="P697" s="92" t="s">
        <v>64</v>
      </c>
      <c r="Z697" s="93">
        <f>IF(AQ697="5",BJ697,0)</f>
        <v>0</v>
      </c>
      <c r="AB697" s="93">
        <f>IF(AQ697="1",BH697,0)</f>
        <v>0</v>
      </c>
      <c r="AC697" s="93">
        <f>IF(AQ697="1",BI697,0)</f>
        <v>0</v>
      </c>
      <c r="AD697" s="93">
        <f>IF(AQ697="7",BH697,0)</f>
        <v>0</v>
      </c>
      <c r="AE697" s="93">
        <f>IF(AQ697="7",BI697,0)</f>
        <v>0</v>
      </c>
      <c r="AF697" s="93">
        <f>IF(AQ697="2",BH697,0)</f>
        <v>0</v>
      </c>
      <c r="AG697" s="93">
        <f>IF(AQ697="2",BI697,0)</f>
        <v>0</v>
      </c>
      <c r="AH697" s="93">
        <f>IF(AQ697="0",BJ697,0)</f>
        <v>0</v>
      </c>
      <c r="AI697" s="88" t="s">
        <v>55</v>
      </c>
      <c r="AJ697" s="93">
        <f>IF(AN697=0,L697,0)</f>
        <v>0</v>
      </c>
      <c r="AK697" s="93">
        <f>IF(AN697=12,L697,0)</f>
        <v>0</v>
      </c>
      <c r="AL697" s="93">
        <f>IF(AN697=21,L697,0)</f>
        <v>0</v>
      </c>
      <c r="AN697" s="93">
        <v>21</v>
      </c>
      <c r="AO697" s="93">
        <f>H697*0.315869121</f>
        <v>0</v>
      </c>
      <c r="AP697" s="93">
        <f>H697*(1-0.315869121)</f>
        <v>0</v>
      </c>
      <c r="AQ697" s="94" t="s">
        <v>59</v>
      </c>
      <c r="AV697" s="93">
        <f>AW697+AX697</f>
        <v>0</v>
      </c>
      <c r="AW697" s="93">
        <f>G697*AO697</f>
        <v>0</v>
      </c>
      <c r="AX697" s="93">
        <f>G697*AP697</f>
        <v>0</v>
      </c>
      <c r="AY697" s="94" t="s">
        <v>870</v>
      </c>
      <c r="AZ697" s="94" t="s">
        <v>871</v>
      </c>
      <c r="BA697" s="88" t="s">
        <v>67</v>
      </c>
      <c r="BC697" s="93">
        <f>AW697+AX697</f>
        <v>0</v>
      </c>
      <c r="BD697" s="93">
        <f>H697/(100-BE697)*100</f>
        <v>0</v>
      </c>
      <c r="BE697" s="93">
        <v>0</v>
      </c>
      <c r="BF697" s="93">
        <f>O697</f>
        <v>2.251795</v>
      </c>
      <c r="BH697" s="93">
        <f>G697*AO697</f>
        <v>0</v>
      </c>
      <c r="BI697" s="93">
        <f>G697*AP697</f>
        <v>0</v>
      </c>
      <c r="BJ697" s="93">
        <f>G697*H697</f>
        <v>0</v>
      </c>
      <c r="BK697" s="93"/>
      <c r="BL697" s="93">
        <v>60</v>
      </c>
      <c r="BW697" s="93" t="str">
        <f>I697</f>
        <v>21</v>
      </c>
      <c r="BX697" s="2" t="s">
        <v>881</v>
      </c>
    </row>
    <row r="698" spans="1:76" s="81" customFormat="1" ht="13.5" customHeight="1" x14ac:dyDescent="0.25">
      <c r="A698" s="110"/>
      <c r="B698" s="95"/>
      <c r="C698" s="95"/>
      <c r="D698" s="179" t="s">
        <v>882</v>
      </c>
      <c r="E698" s="179"/>
      <c r="F698" s="179"/>
      <c r="G698" s="179"/>
      <c r="H698" s="179"/>
      <c r="I698" s="179"/>
      <c r="J698" s="179"/>
      <c r="K698" s="179"/>
      <c r="L698" s="179"/>
      <c r="M698" s="179"/>
      <c r="N698" s="179"/>
      <c r="O698" s="179"/>
      <c r="P698" s="179"/>
    </row>
    <row r="699" spans="1:76" s="81" customFormat="1" x14ac:dyDescent="0.25">
      <c r="A699" s="110"/>
      <c r="B699" s="95"/>
      <c r="C699" s="95"/>
      <c r="D699" s="76" t="s">
        <v>54</v>
      </c>
      <c r="E699" s="76" t="s">
        <v>877</v>
      </c>
      <c r="F699" s="95"/>
      <c r="G699" s="96">
        <v>0</v>
      </c>
      <c r="H699" s="95"/>
      <c r="I699" s="95"/>
      <c r="J699" s="95"/>
      <c r="K699" s="95"/>
      <c r="L699" s="95"/>
      <c r="M699" s="95"/>
      <c r="N699" s="95"/>
      <c r="O699" s="95"/>
      <c r="P699" s="95"/>
    </row>
    <row r="700" spans="1:76" s="81" customFormat="1" x14ac:dyDescent="0.25">
      <c r="A700" s="110"/>
      <c r="B700" s="95"/>
      <c r="C700" s="95"/>
      <c r="D700" s="76" t="s">
        <v>878</v>
      </c>
      <c r="E700" s="76" t="s">
        <v>54</v>
      </c>
      <c r="F700" s="95"/>
      <c r="G700" s="96">
        <v>494.9</v>
      </c>
      <c r="H700" s="95"/>
      <c r="I700" s="95"/>
      <c r="J700" s="95"/>
      <c r="K700" s="95"/>
      <c r="L700" s="95"/>
      <c r="M700" s="95"/>
      <c r="N700" s="95"/>
      <c r="O700" s="95"/>
      <c r="P700" s="95"/>
    </row>
    <row r="701" spans="1:76" s="81" customFormat="1" x14ac:dyDescent="0.25">
      <c r="A701" s="66" t="s">
        <v>883</v>
      </c>
      <c r="B701" s="72" t="s">
        <v>55</v>
      </c>
      <c r="C701" s="72" t="s">
        <v>884</v>
      </c>
      <c r="D701" s="174" t="s">
        <v>885</v>
      </c>
      <c r="E701" s="174"/>
      <c r="F701" s="72" t="s">
        <v>192</v>
      </c>
      <c r="G701" s="90">
        <v>3032.7106899999999</v>
      </c>
      <c r="H701" s="91"/>
      <c r="I701" s="92" t="s">
        <v>63</v>
      </c>
      <c r="J701" s="90">
        <f>G701*AO701</f>
        <v>0</v>
      </c>
      <c r="K701" s="90">
        <f>G701*AP701</f>
        <v>0</v>
      </c>
      <c r="L701" s="90">
        <f>G701*H701</f>
        <v>0</v>
      </c>
      <c r="M701" s="90">
        <f>L701*(1+BW701/100)</f>
        <v>0</v>
      </c>
      <c r="N701" s="90">
        <v>1.7000000000000001E-2</v>
      </c>
      <c r="O701" s="90">
        <f>G701*N701</f>
        <v>51.556081730000002</v>
      </c>
      <c r="P701" s="92" t="s">
        <v>64</v>
      </c>
      <c r="Z701" s="93">
        <f>IF(AQ701="5",BJ701,0)</f>
        <v>0</v>
      </c>
      <c r="AB701" s="93">
        <f>IF(AQ701="1",BH701,0)</f>
        <v>0</v>
      </c>
      <c r="AC701" s="93">
        <f>IF(AQ701="1",BI701,0)</f>
        <v>0</v>
      </c>
      <c r="AD701" s="93">
        <f>IF(AQ701="7",BH701,0)</f>
        <v>0</v>
      </c>
      <c r="AE701" s="93">
        <f>IF(AQ701="7",BI701,0)</f>
        <v>0</v>
      </c>
      <c r="AF701" s="93">
        <f>IF(AQ701="2",BH701,0)</f>
        <v>0</v>
      </c>
      <c r="AG701" s="93">
        <f>IF(AQ701="2",BI701,0)</f>
        <v>0</v>
      </c>
      <c r="AH701" s="93">
        <f>IF(AQ701="0",BJ701,0)</f>
        <v>0</v>
      </c>
      <c r="AI701" s="88" t="s">
        <v>55</v>
      </c>
      <c r="AJ701" s="93">
        <f>IF(AN701=0,L701,0)</f>
        <v>0</v>
      </c>
      <c r="AK701" s="93">
        <f>IF(AN701=12,L701,0)</f>
        <v>0</v>
      </c>
      <c r="AL701" s="93">
        <f>IF(AN701=21,L701,0)</f>
        <v>0</v>
      </c>
      <c r="AN701" s="93">
        <v>21</v>
      </c>
      <c r="AO701" s="93">
        <f>H701*0.379967689</f>
        <v>0</v>
      </c>
      <c r="AP701" s="93">
        <f>H701*(1-0.379967689)</f>
        <v>0</v>
      </c>
      <c r="AQ701" s="94" t="s">
        <v>59</v>
      </c>
      <c r="AV701" s="93">
        <f>AW701+AX701</f>
        <v>0</v>
      </c>
      <c r="AW701" s="93">
        <f>G701*AO701</f>
        <v>0</v>
      </c>
      <c r="AX701" s="93">
        <f>G701*AP701</f>
        <v>0</v>
      </c>
      <c r="AY701" s="94" t="s">
        <v>870</v>
      </c>
      <c r="AZ701" s="94" t="s">
        <v>871</v>
      </c>
      <c r="BA701" s="88" t="s">
        <v>67</v>
      </c>
      <c r="BC701" s="93">
        <f>AW701+AX701</f>
        <v>0</v>
      </c>
      <c r="BD701" s="93">
        <f>H701/(100-BE701)*100</f>
        <v>0</v>
      </c>
      <c r="BE701" s="93">
        <v>0</v>
      </c>
      <c r="BF701" s="93">
        <f>O701</f>
        <v>51.556081730000002</v>
      </c>
      <c r="BH701" s="93">
        <f>G701*AO701</f>
        <v>0</v>
      </c>
      <c r="BI701" s="93">
        <f>G701*AP701</f>
        <v>0</v>
      </c>
      <c r="BJ701" s="93">
        <f>G701*H701</f>
        <v>0</v>
      </c>
      <c r="BK701" s="93"/>
      <c r="BL701" s="93">
        <v>60</v>
      </c>
      <c r="BW701" s="93" t="str">
        <f>I701</f>
        <v>21</v>
      </c>
      <c r="BX701" s="2" t="s">
        <v>885</v>
      </c>
    </row>
    <row r="702" spans="1:76" s="81" customFormat="1" ht="13.5" customHeight="1" x14ac:dyDescent="0.25">
      <c r="A702" s="110"/>
      <c r="B702" s="95"/>
      <c r="C702" s="95"/>
      <c r="D702" s="179" t="s">
        <v>876</v>
      </c>
      <c r="E702" s="179"/>
      <c r="F702" s="179"/>
      <c r="G702" s="179"/>
      <c r="H702" s="179"/>
      <c r="I702" s="179"/>
      <c r="J702" s="179"/>
      <c r="K702" s="179"/>
      <c r="L702" s="179"/>
      <c r="M702" s="179"/>
      <c r="N702" s="179"/>
      <c r="O702" s="179"/>
      <c r="P702" s="179"/>
    </row>
    <row r="703" spans="1:76" s="81" customFormat="1" x14ac:dyDescent="0.25">
      <c r="A703" s="110"/>
      <c r="B703" s="95"/>
      <c r="C703" s="95"/>
      <c r="D703" s="76" t="s">
        <v>54</v>
      </c>
      <c r="E703" s="76" t="s">
        <v>886</v>
      </c>
      <c r="F703" s="95"/>
      <c r="G703" s="96">
        <v>0</v>
      </c>
      <c r="H703" s="95"/>
      <c r="I703" s="95"/>
      <c r="J703" s="95"/>
      <c r="K703" s="95"/>
      <c r="L703" s="95"/>
      <c r="M703" s="95"/>
      <c r="N703" s="95"/>
      <c r="O703" s="95"/>
      <c r="P703" s="95"/>
    </row>
    <row r="704" spans="1:76" s="81" customFormat="1" x14ac:dyDescent="0.25">
      <c r="A704" s="110"/>
      <c r="B704" s="95"/>
      <c r="C704" s="95"/>
      <c r="D704" s="76" t="s">
        <v>54</v>
      </c>
      <c r="E704" s="76" t="s">
        <v>299</v>
      </c>
      <c r="F704" s="95"/>
      <c r="G704" s="96">
        <v>0</v>
      </c>
      <c r="H704" s="95"/>
      <c r="I704" s="95"/>
      <c r="J704" s="95"/>
      <c r="K704" s="95"/>
      <c r="L704" s="95"/>
      <c r="M704" s="95"/>
      <c r="N704" s="95"/>
      <c r="O704" s="95"/>
      <c r="P704" s="95"/>
    </row>
    <row r="705" spans="1:16" s="81" customFormat="1" x14ac:dyDescent="0.25">
      <c r="A705" s="110"/>
      <c r="B705" s="95"/>
      <c r="C705" s="95"/>
      <c r="D705" s="76" t="s">
        <v>529</v>
      </c>
      <c r="E705" s="76" t="s">
        <v>54</v>
      </c>
      <c r="F705" s="95"/>
      <c r="G705" s="96">
        <v>3.4100999999999999</v>
      </c>
      <c r="H705" s="95"/>
      <c r="I705" s="95"/>
      <c r="J705" s="95"/>
      <c r="K705" s="95"/>
      <c r="L705" s="95"/>
      <c r="M705" s="95"/>
      <c r="N705" s="95"/>
      <c r="O705" s="95"/>
      <c r="P705" s="95"/>
    </row>
    <row r="706" spans="1:16" s="81" customFormat="1" x14ac:dyDescent="0.25">
      <c r="A706" s="110"/>
      <c r="B706" s="95"/>
      <c r="C706" s="95"/>
      <c r="D706" s="76" t="s">
        <v>530</v>
      </c>
      <c r="E706" s="76" t="s">
        <v>54</v>
      </c>
      <c r="F706" s="95"/>
      <c r="G706" s="96">
        <v>4.3789999999999996</v>
      </c>
      <c r="H706" s="95"/>
      <c r="I706" s="95"/>
      <c r="J706" s="95"/>
      <c r="K706" s="95"/>
      <c r="L706" s="95"/>
      <c r="M706" s="95"/>
      <c r="N706" s="95"/>
      <c r="O706" s="95"/>
      <c r="P706" s="95"/>
    </row>
    <row r="707" spans="1:16" s="81" customFormat="1" x14ac:dyDescent="0.25">
      <c r="A707" s="110"/>
      <c r="B707" s="95"/>
      <c r="C707" s="95"/>
      <c r="D707" s="76" t="s">
        <v>54</v>
      </c>
      <c r="E707" s="76" t="s">
        <v>308</v>
      </c>
      <c r="F707" s="95"/>
      <c r="G707" s="96">
        <v>0</v>
      </c>
      <c r="H707" s="95"/>
      <c r="I707" s="95"/>
      <c r="J707" s="95"/>
      <c r="K707" s="95"/>
      <c r="L707" s="95"/>
      <c r="M707" s="95"/>
      <c r="N707" s="95"/>
      <c r="O707" s="95"/>
      <c r="P707" s="95"/>
    </row>
    <row r="708" spans="1:16" s="81" customFormat="1" x14ac:dyDescent="0.25">
      <c r="A708" s="110"/>
      <c r="B708" s="95"/>
      <c r="C708" s="95"/>
      <c r="D708" s="76" t="s">
        <v>531</v>
      </c>
      <c r="E708" s="76" t="s">
        <v>54</v>
      </c>
      <c r="F708" s="95"/>
      <c r="G708" s="96">
        <v>2.9834999999999998</v>
      </c>
      <c r="H708" s="95"/>
      <c r="I708" s="95"/>
      <c r="J708" s="95"/>
      <c r="K708" s="95"/>
      <c r="L708" s="95"/>
      <c r="M708" s="95"/>
      <c r="N708" s="95"/>
      <c r="O708" s="95"/>
      <c r="P708" s="95"/>
    </row>
    <row r="709" spans="1:16" s="81" customFormat="1" x14ac:dyDescent="0.25">
      <c r="A709" s="110"/>
      <c r="B709" s="95"/>
      <c r="C709" s="95"/>
      <c r="D709" s="76" t="s">
        <v>532</v>
      </c>
      <c r="E709" s="76" t="s">
        <v>54</v>
      </c>
      <c r="F709" s="95"/>
      <c r="G709" s="96">
        <v>2.1648000000000001</v>
      </c>
      <c r="H709" s="95"/>
      <c r="I709" s="95"/>
      <c r="J709" s="95"/>
      <c r="K709" s="95"/>
      <c r="L709" s="95"/>
      <c r="M709" s="95"/>
      <c r="N709" s="95"/>
      <c r="O709" s="95"/>
      <c r="P709" s="95"/>
    </row>
    <row r="710" spans="1:16" s="81" customFormat="1" x14ac:dyDescent="0.25">
      <c r="A710" s="110"/>
      <c r="B710" s="95"/>
      <c r="C710" s="95"/>
      <c r="D710" s="76" t="s">
        <v>54</v>
      </c>
      <c r="E710" s="76" t="s">
        <v>299</v>
      </c>
      <c r="F710" s="95"/>
      <c r="G710" s="96">
        <v>0</v>
      </c>
      <c r="H710" s="95"/>
      <c r="I710" s="95"/>
      <c r="J710" s="95"/>
      <c r="K710" s="95"/>
      <c r="L710" s="95"/>
      <c r="M710" s="95"/>
      <c r="N710" s="95"/>
      <c r="O710" s="95"/>
      <c r="P710" s="95"/>
    </row>
    <row r="711" spans="1:16" s="81" customFormat="1" x14ac:dyDescent="0.25">
      <c r="A711" s="110"/>
      <c r="B711" s="95"/>
      <c r="C711" s="95"/>
      <c r="D711" s="76" t="s">
        <v>536</v>
      </c>
      <c r="E711" s="76" t="s">
        <v>54</v>
      </c>
      <c r="F711" s="95"/>
      <c r="G711" s="96">
        <v>23.823499999999999</v>
      </c>
      <c r="H711" s="95"/>
      <c r="I711" s="95"/>
      <c r="J711" s="95"/>
      <c r="K711" s="95"/>
      <c r="L711" s="95"/>
      <c r="M711" s="95"/>
      <c r="N711" s="95"/>
      <c r="O711" s="95"/>
      <c r="P711" s="95"/>
    </row>
    <row r="712" spans="1:16" s="81" customFormat="1" x14ac:dyDescent="0.25">
      <c r="A712" s="110"/>
      <c r="B712" s="95"/>
      <c r="C712" s="95"/>
      <c r="D712" s="76" t="s">
        <v>54</v>
      </c>
      <c r="E712" s="76" t="s">
        <v>308</v>
      </c>
      <c r="F712" s="95"/>
      <c r="G712" s="96">
        <v>0</v>
      </c>
      <c r="H712" s="95"/>
      <c r="I712" s="95"/>
      <c r="J712" s="95"/>
      <c r="K712" s="95"/>
      <c r="L712" s="95"/>
      <c r="M712" s="95"/>
      <c r="N712" s="95"/>
      <c r="O712" s="95"/>
      <c r="P712" s="95"/>
    </row>
    <row r="713" spans="1:16" s="81" customFormat="1" x14ac:dyDescent="0.25">
      <c r="A713" s="110"/>
      <c r="B713" s="95"/>
      <c r="C713" s="95"/>
      <c r="D713" s="76" t="s">
        <v>537</v>
      </c>
      <c r="E713" s="76" t="s">
        <v>54</v>
      </c>
      <c r="F713" s="95"/>
      <c r="G713" s="96">
        <v>19.78762</v>
      </c>
      <c r="H713" s="95"/>
      <c r="I713" s="95"/>
      <c r="J713" s="95"/>
      <c r="K713" s="95"/>
      <c r="L713" s="95"/>
      <c r="M713" s="95"/>
      <c r="N713" s="95"/>
      <c r="O713" s="95"/>
      <c r="P713" s="95"/>
    </row>
    <row r="714" spans="1:16" s="81" customFormat="1" x14ac:dyDescent="0.25">
      <c r="A714" s="110"/>
      <c r="B714" s="95"/>
      <c r="C714" s="95"/>
      <c r="D714" s="76" t="s">
        <v>538</v>
      </c>
      <c r="E714" s="76" t="s">
        <v>54</v>
      </c>
      <c r="F714" s="95"/>
      <c r="G714" s="96">
        <v>4.8555000000000001</v>
      </c>
      <c r="H714" s="95"/>
      <c r="I714" s="95"/>
      <c r="J714" s="95"/>
      <c r="K714" s="95"/>
      <c r="L714" s="95"/>
      <c r="M714" s="95"/>
      <c r="N714" s="95"/>
      <c r="O714" s="95"/>
      <c r="P714" s="95"/>
    </row>
    <row r="715" spans="1:16" s="81" customFormat="1" x14ac:dyDescent="0.25">
      <c r="A715" s="110"/>
      <c r="B715" s="95"/>
      <c r="C715" s="95"/>
      <c r="D715" s="76" t="s">
        <v>539</v>
      </c>
      <c r="E715" s="76" t="s">
        <v>54</v>
      </c>
      <c r="F715" s="95"/>
      <c r="G715" s="96">
        <v>26.229749999999999</v>
      </c>
      <c r="H715" s="95"/>
      <c r="I715" s="95"/>
      <c r="J715" s="95"/>
      <c r="K715" s="95"/>
      <c r="L715" s="95"/>
      <c r="M715" s="95"/>
      <c r="N715" s="95"/>
      <c r="O715" s="95"/>
      <c r="P715" s="95"/>
    </row>
    <row r="716" spans="1:16" s="81" customFormat="1" x14ac:dyDescent="0.25">
      <c r="A716" s="110"/>
      <c r="B716" s="95"/>
      <c r="C716" s="95"/>
      <c r="D716" s="76" t="s">
        <v>54</v>
      </c>
      <c r="E716" s="76" t="s">
        <v>299</v>
      </c>
      <c r="F716" s="95"/>
      <c r="G716" s="96">
        <v>0</v>
      </c>
      <c r="H716" s="95"/>
      <c r="I716" s="95"/>
      <c r="J716" s="95"/>
      <c r="K716" s="95"/>
      <c r="L716" s="95"/>
      <c r="M716" s="95"/>
      <c r="N716" s="95"/>
      <c r="O716" s="95"/>
      <c r="P716" s="95"/>
    </row>
    <row r="717" spans="1:16" s="81" customFormat="1" x14ac:dyDescent="0.25">
      <c r="A717" s="110"/>
      <c r="B717" s="95"/>
      <c r="C717" s="95"/>
      <c r="D717" s="76" t="s">
        <v>887</v>
      </c>
      <c r="E717" s="76" t="s">
        <v>54</v>
      </c>
      <c r="F717" s="95"/>
      <c r="G717" s="96">
        <v>34.655000000000001</v>
      </c>
      <c r="H717" s="95"/>
      <c r="I717" s="95"/>
      <c r="J717" s="95"/>
      <c r="K717" s="95"/>
      <c r="L717" s="95"/>
      <c r="M717" s="95"/>
      <c r="N717" s="95"/>
      <c r="O717" s="95"/>
      <c r="P717" s="95"/>
    </row>
    <row r="718" spans="1:16" s="81" customFormat="1" x14ac:dyDescent="0.25">
      <c r="A718" s="110"/>
      <c r="B718" s="95"/>
      <c r="C718" s="95"/>
      <c r="D718" s="76" t="s">
        <v>888</v>
      </c>
      <c r="E718" s="76" t="s">
        <v>54</v>
      </c>
      <c r="F718" s="95"/>
      <c r="G718" s="96">
        <v>67.28</v>
      </c>
      <c r="H718" s="95"/>
      <c r="I718" s="95"/>
      <c r="J718" s="95"/>
      <c r="K718" s="95"/>
      <c r="L718" s="95"/>
      <c r="M718" s="95"/>
      <c r="N718" s="95"/>
      <c r="O718" s="95"/>
      <c r="P718" s="95"/>
    </row>
    <row r="719" spans="1:16" s="81" customFormat="1" x14ac:dyDescent="0.25">
      <c r="A719" s="110"/>
      <c r="B719" s="95"/>
      <c r="C719" s="95"/>
      <c r="D719" s="76" t="s">
        <v>889</v>
      </c>
      <c r="E719" s="76" t="s">
        <v>54</v>
      </c>
      <c r="F719" s="95"/>
      <c r="G719" s="96">
        <v>15.03</v>
      </c>
      <c r="H719" s="95"/>
      <c r="I719" s="95"/>
      <c r="J719" s="95"/>
      <c r="K719" s="95"/>
      <c r="L719" s="95"/>
      <c r="M719" s="95"/>
      <c r="N719" s="95"/>
      <c r="O719" s="95"/>
      <c r="P719" s="95"/>
    </row>
    <row r="720" spans="1:16" s="81" customFormat="1" x14ac:dyDescent="0.25">
      <c r="A720" s="110"/>
      <c r="B720" s="95"/>
      <c r="C720" s="95"/>
      <c r="D720" s="76" t="s">
        <v>890</v>
      </c>
      <c r="E720" s="76" t="s">
        <v>54</v>
      </c>
      <c r="F720" s="95"/>
      <c r="G720" s="96">
        <v>-11.76</v>
      </c>
      <c r="H720" s="95"/>
      <c r="I720" s="95"/>
      <c r="J720" s="95"/>
      <c r="K720" s="95"/>
      <c r="L720" s="95"/>
      <c r="M720" s="95"/>
      <c r="N720" s="95"/>
      <c r="O720" s="95"/>
      <c r="P720" s="95"/>
    </row>
    <row r="721" spans="1:16" s="81" customFormat="1" x14ac:dyDescent="0.25">
      <c r="A721" s="110"/>
      <c r="B721" s="95"/>
      <c r="C721" s="95"/>
      <c r="D721" s="76" t="s">
        <v>54</v>
      </c>
      <c r="E721" s="76" t="s">
        <v>308</v>
      </c>
      <c r="F721" s="95"/>
      <c r="G721" s="96">
        <v>0</v>
      </c>
      <c r="H721" s="95"/>
      <c r="I721" s="95"/>
      <c r="J721" s="95"/>
      <c r="K721" s="95"/>
      <c r="L721" s="95"/>
      <c r="M721" s="95"/>
      <c r="N721" s="95"/>
      <c r="O721" s="95"/>
      <c r="P721" s="95"/>
    </row>
    <row r="722" spans="1:16" s="81" customFormat="1" x14ac:dyDescent="0.25">
      <c r="A722" s="110"/>
      <c r="B722" s="95"/>
      <c r="C722" s="95"/>
      <c r="D722" s="76" t="s">
        <v>891</v>
      </c>
      <c r="E722" s="76" t="s">
        <v>54</v>
      </c>
      <c r="F722" s="95"/>
      <c r="G722" s="96">
        <v>25.432500000000001</v>
      </c>
      <c r="H722" s="95"/>
      <c r="I722" s="95"/>
      <c r="J722" s="95"/>
      <c r="K722" s="95"/>
      <c r="L722" s="95"/>
      <c r="M722" s="95"/>
      <c r="N722" s="95"/>
      <c r="O722" s="95"/>
      <c r="P722" s="95"/>
    </row>
    <row r="723" spans="1:16" s="81" customFormat="1" x14ac:dyDescent="0.25">
      <c r="A723" s="110"/>
      <c r="B723" s="95"/>
      <c r="C723" s="95"/>
      <c r="D723" s="76" t="s">
        <v>892</v>
      </c>
      <c r="E723" s="76" t="s">
        <v>54</v>
      </c>
      <c r="F723" s="95"/>
      <c r="G723" s="96">
        <v>59.85</v>
      </c>
      <c r="H723" s="95"/>
      <c r="I723" s="95"/>
      <c r="J723" s="95"/>
      <c r="K723" s="95"/>
      <c r="L723" s="95"/>
      <c r="M723" s="95"/>
      <c r="N723" s="95"/>
      <c r="O723" s="95"/>
      <c r="P723" s="95"/>
    </row>
    <row r="724" spans="1:16" s="81" customFormat="1" x14ac:dyDescent="0.25">
      <c r="A724" s="110"/>
      <c r="B724" s="95"/>
      <c r="C724" s="95"/>
      <c r="D724" s="76" t="s">
        <v>54</v>
      </c>
      <c r="E724" s="76" t="s">
        <v>299</v>
      </c>
      <c r="F724" s="95"/>
      <c r="G724" s="96">
        <v>0</v>
      </c>
      <c r="H724" s="95"/>
      <c r="I724" s="95"/>
      <c r="J724" s="95"/>
      <c r="K724" s="95"/>
      <c r="L724" s="95"/>
      <c r="M724" s="95"/>
      <c r="N724" s="95"/>
      <c r="O724" s="95"/>
      <c r="P724" s="95"/>
    </row>
    <row r="725" spans="1:16" s="81" customFormat="1" x14ac:dyDescent="0.25">
      <c r="A725" s="110"/>
      <c r="B725" s="95"/>
      <c r="C725" s="95"/>
      <c r="D725" s="76" t="s">
        <v>893</v>
      </c>
      <c r="E725" s="76" t="s">
        <v>54</v>
      </c>
      <c r="F725" s="95"/>
      <c r="G725" s="96">
        <v>34.020000000000003</v>
      </c>
      <c r="H725" s="95"/>
      <c r="I725" s="95"/>
      <c r="J725" s="95"/>
      <c r="K725" s="95"/>
      <c r="L725" s="95"/>
      <c r="M725" s="95"/>
      <c r="N725" s="95"/>
      <c r="O725" s="95"/>
      <c r="P725" s="95"/>
    </row>
    <row r="726" spans="1:16" s="81" customFormat="1" x14ac:dyDescent="0.25">
      <c r="A726" s="110"/>
      <c r="B726" s="95"/>
      <c r="C726" s="95"/>
      <c r="D726" s="76" t="s">
        <v>894</v>
      </c>
      <c r="E726" s="76" t="s">
        <v>54</v>
      </c>
      <c r="F726" s="95"/>
      <c r="G726" s="96">
        <v>69.89</v>
      </c>
      <c r="H726" s="95"/>
      <c r="I726" s="95"/>
      <c r="J726" s="95"/>
      <c r="K726" s="95"/>
      <c r="L726" s="95"/>
      <c r="M726" s="95"/>
      <c r="N726" s="95"/>
      <c r="O726" s="95"/>
      <c r="P726" s="95"/>
    </row>
    <row r="727" spans="1:16" s="81" customFormat="1" ht="25.5" x14ac:dyDescent="0.25">
      <c r="A727" s="110"/>
      <c r="B727" s="95"/>
      <c r="C727" s="95"/>
      <c r="D727" s="76" t="s">
        <v>895</v>
      </c>
      <c r="E727" s="76" t="s">
        <v>54</v>
      </c>
      <c r="F727" s="95"/>
      <c r="G727" s="96">
        <v>189.25399999999999</v>
      </c>
      <c r="H727" s="95"/>
      <c r="I727" s="95"/>
      <c r="J727" s="95"/>
      <c r="K727" s="95"/>
      <c r="L727" s="95"/>
      <c r="M727" s="95"/>
      <c r="N727" s="95"/>
      <c r="O727" s="95"/>
      <c r="P727" s="95"/>
    </row>
    <row r="728" spans="1:16" s="81" customFormat="1" x14ac:dyDescent="0.25">
      <c r="A728" s="110"/>
      <c r="B728" s="95"/>
      <c r="C728" s="95"/>
      <c r="D728" s="76" t="s">
        <v>896</v>
      </c>
      <c r="E728" s="76" t="s">
        <v>54</v>
      </c>
      <c r="F728" s="95"/>
      <c r="G728" s="96">
        <v>-13.86</v>
      </c>
      <c r="H728" s="95"/>
      <c r="I728" s="95"/>
      <c r="J728" s="95"/>
      <c r="K728" s="95"/>
      <c r="L728" s="95"/>
      <c r="M728" s="95"/>
      <c r="N728" s="95"/>
      <c r="O728" s="95"/>
      <c r="P728" s="95"/>
    </row>
    <row r="729" spans="1:16" s="81" customFormat="1" x14ac:dyDescent="0.25">
      <c r="A729" s="110"/>
      <c r="B729" s="95"/>
      <c r="C729" s="95"/>
      <c r="D729" s="76" t="s">
        <v>54</v>
      </c>
      <c r="E729" s="76" t="s">
        <v>308</v>
      </c>
      <c r="F729" s="95"/>
      <c r="G729" s="96">
        <v>0</v>
      </c>
      <c r="H729" s="95"/>
      <c r="I729" s="95"/>
      <c r="J729" s="95"/>
      <c r="K729" s="95"/>
      <c r="L729" s="95"/>
      <c r="M729" s="95"/>
      <c r="N729" s="95"/>
      <c r="O729" s="95"/>
      <c r="P729" s="95"/>
    </row>
    <row r="730" spans="1:16" s="81" customFormat="1" x14ac:dyDescent="0.25">
      <c r="A730" s="110"/>
      <c r="B730" s="95"/>
      <c r="C730" s="95"/>
      <c r="D730" s="76" t="s">
        <v>54</v>
      </c>
      <c r="E730" s="76" t="s">
        <v>897</v>
      </c>
      <c r="F730" s="95"/>
      <c r="G730" s="96">
        <v>0</v>
      </c>
      <c r="H730" s="95"/>
      <c r="I730" s="95"/>
      <c r="J730" s="95"/>
      <c r="K730" s="95"/>
      <c r="L730" s="95"/>
      <c r="M730" s="95"/>
      <c r="N730" s="95"/>
      <c r="O730" s="95"/>
      <c r="P730" s="95"/>
    </row>
    <row r="731" spans="1:16" s="81" customFormat="1" x14ac:dyDescent="0.25">
      <c r="A731" s="110"/>
      <c r="B731" s="95"/>
      <c r="C731" s="95"/>
      <c r="D731" s="76" t="s">
        <v>54</v>
      </c>
      <c r="E731" s="76" t="s">
        <v>898</v>
      </c>
      <c r="F731" s="95"/>
      <c r="G731" s="96">
        <v>0</v>
      </c>
      <c r="H731" s="95"/>
      <c r="I731" s="95"/>
      <c r="J731" s="95"/>
      <c r="K731" s="95"/>
      <c r="L731" s="95"/>
      <c r="M731" s="95"/>
      <c r="N731" s="95"/>
      <c r="O731" s="95"/>
      <c r="P731" s="95"/>
    </row>
    <row r="732" spans="1:16" s="81" customFormat="1" ht="25.5" x14ac:dyDescent="0.25">
      <c r="A732" s="110"/>
      <c r="B732" s="95"/>
      <c r="C732" s="95"/>
      <c r="D732" s="76" t="s">
        <v>899</v>
      </c>
      <c r="E732" s="76" t="s">
        <v>54</v>
      </c>
      <c r="F732" s="95"/>
      <c r="G732" s="96">
        <v>252.1935</v>
      </c>
      <c r="H732" s="95"/>
      <c r="I732" s="95"/>
      <c r="J732" s="95"/>
      <c r="K732" s="95"/>
      <c r="L732" s="95"/>
      <c r="M732" s="95"/>
      <c r="N732" s="95"/>
      <c r="O732" s="95"/>
      <c r="P732" s="95"/>
    </row>
    <row r="733" spans="1:16" s="81" customFormat="1" x14ac:dyDescent="0.25">
      <c r="A733" s="110"/>
      <c r="B733" s="95"/>
      <c r="C733" s="95"/>
      <c r="D733" s="76" t="s">
        <v>900</v>
      </c>
      <c r="E733" s="76" t="s">
        <v>54</v>
      </c>
      <c r="F733" s="95"/>
      <c r="G733" s="96">
        <v>19.16337</v>
      </c>
      <c r="H733" s="95"/>
      <c r="I733" s="95"/>
      <c r="J733" s="95"/>
      <c r="K733" s="95"/>
      <c r="L733" s="95"/>
      <c r="M733" s="95"/>
      <c r="N733" s="95"/>
      <c r="O733" s="95"/>
      <c r="P733" s="95"/>
    </row>
    <row r="734" spans="1:16" s="81" customFormat="1" x14ac:dyDescent="0.25">
      <c r="A734" s="110"/>
      <c r="B734" s="95"/>
      <c r="C734" s="95"/>
      <c r="D734" s="76" t="s">
        <v>901</v>
      </c>
      <c r="E734" s="76" t="s">
        <v>54</v>
      </c>
      <c r="F734" s="95"/>
      <c r="G734" s="96">
        <v>-23.1</v>
      </c>
      <c r="H734" s="95"/>
      <c r="I734" s="95"/>
      <c r="J734" s="95"/>
      <c r="K734" s="95"/>
      <c r="L734" s="95"/>
      <c r="M734" s="95"/>
      <c r="N734" s="95"/>
      <c r="O734" s="95"/>
      <c r="P734" s="95"/>
    </row>
    <row r="735" spans="1:16" s="81" customFormat="1" ht="25.5" x14ac:dyDescent="0.25">
      <c r="A735" s="110"/>
      <c r="B735" s="95"/>
      <c r="C735" s="95"/>
      <c r="D735" s="76" t="s">
        <v>902</v>
      </c>
      <c r="E735" s="76" t="s">
        <v>54</v>
      </c>
      <c r="F735" s="95"/>
      <c r="G735" s="96">
        <v>6.8787000000000003</v>
      </c>
      <c r="H735" s="95"/>
      <c r="I735" s="95"/>
      <c r="J735" s="95"/>
      <c r="K735" s="95"/>
      <c r="L735" s="95"/>
      <c r="M735" s="95"/>
      <c r="N735" s="95"/>
      <c r="O735" s="95"/>
      <c r="P735" s="95"/>
    </row>
    <row r="736" spans="1:16" s="81" customFormat="1" x14ac:dyDescent="0.25">
      <c r="A736" s="110"/>
      <c r="B736" s="95"/>
      <c r="C736" s="95"/>
      <c r="D736" s="76" t="s">
        <v>903</v>
      </c>
      <c r="E736" s="76" t="s">
        <v>54</v>
      </c>
      <c r="F736" s="95"/>
      <c r="G736" s="96">
        <v>-8.8512500000000003</v>
      </c>
      <c r="H736" s="95"/>
      <c r="I736" s="95"/>
      <c r="J736" s="95"/>
      <c r="K736" s="95"/>
      <c r="L736" s="95"/>
      <c r="M736" s="95"/>
      <c r="N736" s="95"/>
      <c r="O736" s="95"/>
      <c r="P736" s="95"/>
    </row>
    <row r="737" spans="1:16" s="81" customFormat="1" x14ac:dyDescent="0.25">
      <c r="A737" s="110"/>
      <c r="B737" s="95"/>
      <c r="C737" s="95"/>
      <c r="D737" s="76" t="s">
        <v>904</v>
      </c>
      <c r="E737" s="76" t="s">
        <v>54</v>
      </c>
      <c r="F737" s="95"/>
      <c r="G737" s="96">
        <v>2.6827800000000002</v>
      </c>
      <c r="H737" s="95"/>
      <c r="I737" s="95"/>
      <c r="J737" s="95"/>
      <c r="K737" s="95"/>
      <c r="L737" s="95"/>
      <c r="M737" s="95"/>
      <c r="N737" s="95"/>
      <c r="O737" s="95"/>
      <c r="P737" s="95"/>
    </row>
    <row r="738" spans="1:16" s="81" customFormat="1" x14ac:dyDescent="0.25">
      <c r="A738" s="110"/>
      <c r="B738" s="95"/>
      <c r="C738" s="95"/>
      <c r="D738" s="76" t="s">
        <v>905</v>
      </c>
      <c r="E738" s="76" t="s">
        <v>54</v>
      </c>
      <c r="F738" s="95"/>
      <c r="G738" s="96">
        <v>1.8304</v>
      </c>
      <c r="H738" s="95"/>
      <c r="I738" s="95"/>
      <c r="J738" s="95"/>
      <c r="K738" s="95"/>
      <c r="L738" s="95"/>
      <c r="M738" s="95"/>
      <c r="N738" s="95"/>
      <c r="O738" s="95"/>
      <c r="P738" s="95"/>
    </row>
    <row r="739" spans="1:16" s="81" customFormat="1" x14ac:dyDescent="0.25">
      <c r="A739" s="110"/>
      <c r="B739" s="95"/>
      <c r="C739" s="95"/>
      <c r="D739" s="76" t="s">
        <v>906</v>
      </c>
      <c r="E739" s="76" t="s">
        <v>54</v>
      </c>
      <c r="F739" s="95"/>
      <c r="G739" s="96">
        <v>108.69199999999999</v>
      </c>
      <c r="H739" s="95"/>
      <c r="I739" s="95"/>
      <c r="J739" s="95"/>
      <c r="K739" s="95"/>
      <c r="L739" s="95"/>
      <c r="M739" s="95"/>
      <c r="N739" s="95"/>
      <c r="O739" s="95"/>
      <c r="P739" s="95"/>
    </row>
    <row r="740" spans="1:16" s="81" customFormat="1" x14ac:dyDescent="0.25">
      <c r="A740" s="110"/>
      <c r="B740" s="95"/>
      <c r="C740" s="95"/>
      <c r="D740" s="76" t="s">
        <v>907</v>
      </c>
      <c r="E740" s="76" t="s">
        <v>54</v>
      </c>
      <c r="F740" s="95"/>
      <c r="G740" s="96">
        <v>-16.143750000000001</v>
      </c>
      <c r="H740" s="95"/>
      <c r="I740" s="95"/>
      <c r="J740" s="95"/>
      <c r="K740" s="95"/>
      <c r="L740" s="95"/>
      <c r="M740" s="95"/>
      <c r="N740" s="95"/>
      <c r="O740" s="95"/>
      <c r="P740" s="95"/>
    </row>
    <row r="741" spans="1:16" s="81" customFormat="1" x14ac:dyDescent="0.25">
      <c r="A741" s="110"/>
      <c r="B741" s="95"/>
      <c r="C741" s="95"/>
      <c r="D741" s="76" t="s">
        <v>908</v>
      </c>
      <c r="E741" s="76" t="s">
        <v>54</v>
      </c>
      <c r="F741" s="95"/>
      <c r="G741" s="96">
        <v>10.2525</v>
      </c>
      <c r="H741" s="95"/>
      <c r="I741" s="95"/>
      <c r="J741" s="95"/>
      <c r="K741" s="95"/>
      <c r="L741" s="95"/>
      <c r="M741" s="95"/>
      <c r="N741" s="95"/>
      <c r="O741" s="95"/>
      <c r="P741" s="95"/>
    </row>
    <row r="742" spans="1:16" s="81" customFormat="1" x14ac:dyDescent="0.25">
      <c r="A742" s="110"/>
      <c r="B742" s="95"/>
      <c r="C742" s="95"/>
      <c r="D742" s="76" t="s">
        <v>909</v>
      </c>
      <c r="E742" s="76" t="s">
        <v>54</v>
      </c>
      <c r="F742" s="95"/>
      <c r="G742" s="96">
        <v>80.547499999999999</v>
      </c>
      <c r="H742" s="95"/>
      <c r="I742" s="95"/>
      <c r="J742" s="95"/>
      <c r="K742" s="95"/>
      <c r="L742" s="95"/>
      <c r="M742" s="95"/>
      <c r="N742" s="95"/>
      <c r="O742" s="95"/>
      <c r="P742" s="95"/>
    </row>
    <row r="743" spans="1:16" s="81" customFormat="1" x14ac:dyDescent="0.25">
      <c r="A743" s="110"/>
      <c r="B743" s="95"/>
      <c r="C743" s="95"/>
      <c r="D743" s="76" t="s">
        <v>910</v>
      </c>
      <c r="E743" s="76" t="s">
        <v>54</v>
      </c>
      <c r="F743" s="95"/>
      <c r="G743" s="96">
        <v>-4.4917999999999996</v>
      </c>
      <c r="H743" s="95"/>
      <c r="I743" s="95"/>
      <c r="J743" s="95"/>
      <c r="K743" s="95"/>
      <c r="L743" s="95"/>
      <c r="M743" s="95"/>
      <c r="N743" s="95"/>
      <c r="O743" s="95"/>
      <c r="P743" s="95"/>
    </row>
    <row r="744" spans="1:16" s="81" customFormat="1" ht="25.5" x14ac:dyDescent="0.25">
      <c r="A744" s="110"/>
      <c r="B744" s="95"/>
      <c r="C744" s="95"/>
      <c r="D744" s="76" t="s">
        <v>911</v>
      </c>
      <c r="E744" s="76" t="s">
        <v>54</v>
      </c>
      <c r="F744" s="95"/>
      <c r="G744" s="96">
        <v>209.75700000000001</v>
      </c>
      <c r="H744" s="95"/>
      <c r="I744" s="95"/>
      <c r="J744" s="95"/>
      <c r="K744" s="95"/>
      <c r="L744" s="95"/>
      <c r="M744" s="95"/>
      <c r="N744" s="95"/>
      <c r="O744" s="95"/>
      <c r="P744" s="95"/>
    </row>
    <row r="745" spans="1:16" s="81" customFormat="1" x14ac:dyDescent="0.25">
      <c r="A745" s="110"/>
      <c r="B745" s="95"/>
      <c r="C745" s="95"/>
      <c r="D745" s="76" t="s">
        <v>912</v>
      </c>
      <c r="E745" s="76" t="s">
        <v>54</v>
      </c>
      <c r="F745" s="95"/>
      <c r="G745" s="96">
        <v>-9.2555999999999994</v>
      </c>
      <c r="H745" s="95"/>
      <c r="I745" s="95"/>
      <c r="J745" s="95"/>
      <c r="K745" s="95"/>
      <c r="L745" s="95"/>
      <c r="M745" s="95"/>
      <c r="N745" s="95"/>
      <c r="O745" s="95"/>
      <c r="P745" s="95"/>
    </row>
    <row r="746" spans="1:16" s="81" customFormat="1" x14ac:dyDescent="0.25">
      <c r="A746" s="110"/>
      <c r="B746" s="95"/>
      <c r="C746" s="95"/>
      <c r="D746" s="76" t="s">
        <v>913</v>
      </c>
      <c r="E746" s="76" t="s">
        <v>54</v>
      </c>
      <c r="F746" s="95"/>
      <c r="G746" s="96">
        <v>0.59399999999999997</v>
      </c>
      <c r="H746" s="95"/>
      <c r="I746" s="95"/>
      <c r="J746" s="95"/>
      <c r="K746" s="95"/>
      <c r="L746" s="95"/>
      <c r="M746" s="95"/>
      <c r="N746" s="95"/>
      <c r="O746" s="95"/>
      <c r="P746" s="95"/>
    </row>
    <row r="747" spans="1:16" s="81" customFormat="1" x14ac:dyDescent="0.25">
      <c r="A747" s="110"/>
      <c r="B747" s="95"/>
      <c r="C747" s="95"/>
      <c r="D747" s="76" t="s">
        <v>914</v>
      </c>
      <c r="E747" s="76" t="s">
        <v>54</v>
      </c>
      <c r="F747" s="95"/>
      <c r="G747" s="96">
        <v>32.835999999999999</v>
      </c>
      <c r="H747" s="95"/>
      <c r="I747" s="95"/>
      <c r="J747" s="95"/>
      <c r="K747" s="95"/>
      <c r="L747" s="95"/>
      <c r="M747" s="95"/>
      <c r="N747" s="95"/>
      <c r="O747" s="95"/>
      <c r="P747" s="95"/>
    </row>
    <row r="748" spans="1:16" s="81" customFormat="1" x14ac:dyDescent="0.25">
      <c r="A748" s="110"/>
      <c r="B748" s="95"/>
      <c r="C748" s="95"/>
      <c r="D748" s="76" t="s">
        <v>915</v>
      </c>
      <c r="E748" s="76" t="s">
        <v>54</v>
      </c>
      <c r="F748" s="95"/>
      <c r="G748" s="96">
        <v>33.0075</v>
      </c>
      <c r="H748" s="95"/>
      <c r="I748" s="95"/>
      <c r="J748" s="95"/>
      <c r="K748" s="95"/>
      <c r="L748" s="95"/>
      <c r="M748" s="95"/>
      <c r="N748" s="95"/>
      <c r="O748" s="95"/>
      <c r="P748" s="95"/>
    </row>
    <row r="749" spans="1:16" s="81" customFormat="1" ht="25.5" x14ac:dyDescent="0.25">
      <c r="A749" s="110"/>
      <c r="B749" s="95"/>
      <c r="C749" s="95"/>
      <c r="D749" s="76" t="s">
        <v>916</v>
      </c>
      <c r="E749" s="76" t="s">
        <v>54</v>
      </c>
      <c r="F749" s="95"/>
      <c r="G749" s="96">
        <v>82.525999999999996</v>
      </c>
      <c r="H749" s="95"/>
      <c r="I749" s="95"/>
      <c r="J749" s="95"/>
      <c r="K749" s="95"/>
      <c r="L749" s="95"/>
      <c r="M749" s="95"/>
      <c r="N749" s="95"/>
      <c r="O749" s="95"/>
      <c r="P749" s="95"/>
    </row>
    <row r="750" spans="1:16" s="81" customFormat="1" ht="25.5" x14ac:dyDescent="0.25">
      <c r="A750" s="110"/>
      <c r="B750" s="95"/>
      <c r="C750" s="95"/>
      <c r="D750" s="76" t="s">
        <v>917</v>
      </c>
      <c r="E750" s="76" t="s">
        <v>54</v>
      </c>
      <c r="F750" s="95"/>
      <c r="G750" s="96">
        <v>-4.8440000000000003</v>
      </c>
      <c r="H750" s="95"/>
      <c r="I750" s="95"/>
      <c r="J750" s="95"/>
      <c r="K750" s="95"/>
      <c r="L750" s="95"/>
      <c r="M750" s="95"/>
      <c r="N750" s="95"/>
      <c r="O750" s="95"/>
      <c r="P750" s="95"/>
    </row>
    <row r="751" spans="1:16" s="81" customFormat="1" x14ac:dyDescent="0.25">
      <c r="A751" s="110"/>
      <c r="B751" s="95"/>
      <c r="C751" s="95"/>
      <c r="D751" s="76" t="s">
        <v>918</v>
      </c>
      <c r="E751" s="76" t="s">
        <v>54</v>
      </c>
      <c r="F751" s="95"/>
      <c r="G751" s="96">
        <v>53.65</v>
      </c>
      <c r="H751" s="95"/>
      <c r="I751" s="95"/>
      <c r="J751" s="95"/>
      <c r="K751" s="95"/>
      <c r="L751" s="95"/>
      <c r="M751" s="95"/>
      <c r="N751" s="95"/>
      <c r="O751" s="95"/>
      <c r="P751" s="95"/>
    </row>
    <row r="752" spans="1:16" s="81" customFormat="1" ht="25.5" x14ac:dyDescent="0.25">
      <c r="A752" s="110"/>
      <c r="B752" s="95"/>
      <c r="C752" s="95"/>
      <c r="D752" s="76" t="s">
        <v>919</v>
      </c>
      <c r="E752" s="76" t="s">
        <v>54</v>
      </c>
      <c r="F752" s="95"/>
      <c r="G752" s="96">
        <v>71.425349999999995</v>
      </c>
      <c r="H752" s="95"/>
      <c r="I752" s="95"/>
      <c r="J752" s="95"/>
      <c r="K752" s="95"/>
      <c r="L752" s="95"/>
      <c r="M752" s="95"/>
      <c r="N752" s="95"/>
      <c r="O752" s="95"/>
      <c r="P752" s="95"/>
    </row>
    <row r="753" spans="1:16" s="81" customFormat="1" ht="38.25" x14ac:dyDescent="0.25">
      <c r="A753" s="110"/>
      <c r="B753" s="95"/>
      <c r="C753" s="95"/>
      <c r="D753" s="76" t="s">
        <v>920</v>
      </c>
      <c r="E753" s="76" t="s">
        <v>54</v>
      </c>
      <c r="F753" s="95"/>
      <c r="G753" s="96">
        <v>-33.303150000000002</v>
      </c>
      <c r="H753" s="95"/>
      <c r="I753" s="95"/>
      <c r="J753" s="95"/>
      <c r="K753" s="95"/>
      <c r="L753" s="95"/>
      <c r="M753" s="95"/>
      <c r="N753" s="95"/>
      <c r="O753" s="95"/>
      <c r="P753" s="95"/>
    </row>
    <row r="754" spans="1:16" s="81" customFormat="1" ht="25.5" x14ac:dyDescent="0.25">
      <c r="A754" s="110"/>
      <c r="B754" s="95"/>
      <c r="C754" s="95"/>
      <c r="D754" s="76" t="s">
        <v>921</v>
      </c>
      <c r="E754" s="76" t="s">
        <v>54</v>
      </c>
      <c r="F754" s="95"/>
      <c r="G754" s="96">
        <v>137.48378</v>
      </c>
      <c r="H754" s="95"/>
      <c r="I754" s="95"/>
      <c r="J754" s="95"/>
      <c r="K754" s="95"/>
      <c r="L754" s="95"/>
      <c r="M754" s="95"/>
      <c r="N754" s="95"/>
      <c r="O754" s="95"/>
      <c r="P754" s="95"/>
    </row>
    <row r="755" spans="1:16" s="81" customFormat="1" ht="25.5" x14ac:dyDescent="0.25">
      <c r="A755" s="110"/>
      <c r="B755" s="95"/>
      <c r="C755" s="95"/>
      <c r="D755" s="76" t="s">
        <v>922</v>
      </c>
      <c r="E755" s="76" t="s">
        <v>54</v>
      </c>
      <c r="F755" s="95"/>
      <c r="G755" s="96">
        <v>9.5145499999999998</v>
      </c>
      <c r="H755" s="95"/>
      <c r="I755" s="95"/>
      <c r="J755" s="95"/>
      <c r="K755" s="95"/>
      <c r="L755" s="95"/>
      <c r="M755" s="95"/>
      <c r="N755" s="95"/>
      <c r="O755" s="95"/>
      <c r="P755" s="95"/>
    </row>
    <row r="756" spans="1:16" s="81" customFormat="1" ht="38.25" x14ac:dyDescent="0.25">
      <c r="A756" s="110"/>
      <c r="B756" s="95"/>
      <c r="C756" s="95"/>
      <c r="D756" s="76" t="s">
        <v>923</v>
      </c>
      <c r="E756" s="76" t="s">
        <v>54</v>
      </c>
      <c r="F756" s="95"/>
      <c r="G756" s="96">
        <v>55.489870000000003</v>
      </c>
      <c r="H756" s="95"/>
      <c r="I756" s="95"/>
      <c r="J756" s="95"/>
      <c r="K756" s="95"/>
      <c r="L756" s="95"/>
      <c r="M756" s="95"/>
      <c r="N756" s="95"/>
      <c r="O756" s="95"/>
      <c r="P756" s="95"/>
    </row>
    <row r="757" spans="1:16" s="81" customFormat="1" ht="25.5" x14ac:dyDescent="0.25">
      <c r="A757" s="110"/>
      <c r="B757" s="95"/>
      <c r="C757" s="95"/>
      <c r="D757" s="76" t="s">
        <v>924</v>
      </c>
      <c r="E757" s="76" t="s">
        <v>54</v>
      </c>
      <c r="F757" s="95"/>
      <c r="G757" s="96">
        <v>7.7940500000000004</v>
      </c>
      <c r="H757" s="95"/>
      <c r="I757" s="95"/>
      <c r="J757" s="95"/>
      <c r="K757" s="95"/>
      <c r="L757" s="95"/>
      <c r="M757" s="95"/>
      <c r="N757" s="95"/>
      <c r="O757" s="95"/>
      <c r="P757" s="95"/>
    </row>
    <row r="758" spans="1:16" s="81" customFormat="1" ht="25.5" x14ac:dyDescent="0.25">
      <c r="A758" s="110"/>
      <c r="B758" s="95"/>
      <c r="C758" s="95"/>
      <c r="D758" s="76" t="s">
        <v>925</v>
      </c>
      <c r="E758" s="76" t="s">
        <v>54</v>
      </c>
      <c r="F758" s="95"/>
      <c r="G758" s="96">
        <v>101.79</v>
      </c>
      <c r="H758" s="95"/>
      <c r="I758" s="95"/>
      <c r="J758" s="95"/>
      <c r="K758" s="95"/>
      <c r="L758" s="95"/>
      <c r="M758" s="95"/>
      <c r="N758" s="95"/>
      <c r="O758" s="95"/>
      <c r="P758" s="95"/>
    </row>
    <row r="759" spans="1:16" s="81" customFormat="1" ht="38.25" x14ac:dyDescent="0.25">
      <c r="A759" s="110"/>
      <c r="B759" s="95"/>
      <c r="C759" s="95"/>
      <c r="D759" s="76" t="s">
        <v>926</v>
      </c>
      <c r="E759" s="76" t="s">
        <v>54</v>
      </c>
      <c r="F759" s="95"/>
      <c r="G759" s="96">
        <v>-19.7121</v>
      </c>
      <c r="H759" s="95"/>
      <c r="I759" s="95"/>
      <c r="J759" s="95"/>
      <c r="K759" s="95"/>
      <c r="L759" s="95"/>
      <c r="M759" s="95"/>
      <c r="N759" s="95"/>
      <c r="O759" s="95"/>
      <c r="P759" s="95"/>
    </row>
    <row r="760" spans="1:16" s="81" customFormat="1" ht="25.5" x14ac:dyDescent="0.25">
      <c r="A760" s="110"/>
      <c r="B760" s="95"/>
      <c r="C760" s="95"/>
      <c r="D760" s="76" t="s">
        <v>927</v>
      </c>
      <c r="E760" s="76" t="s">
        <v>54</v>
      </c>
      <c r="F760" s="95"/>
      <c r="G760" s="96">
        <v>4.6675500000000003</v>
      </c>
      <c r="H760" s="95"/>
      <c r="I760" s="95"/>
      <c r="J760" s="95"/>
      <c r="K760" s="95"/>
      <c r="L760" s="95"/>
      <c r="M760" s="95"/>
      <c r="N760" s="95"/>
      <c r="O760" s="95"/>
      <c r="P760" s="95"/>
    </row>
    <row r="761" spans="1:16" s="81" customFormat="1" x14ac:dyDescent="0.25">
      <c r="A761" s="110"/>
      <c r="B761" s="95"/>
      <c r="C761" s="95"/>
      <c r="D761" s="76" t="s">
        <v>928</v>
      </c>
      <c r="E761" s="76" t="s">
        <v>54</v>
      </c>
      <c r="F761" s="95"/>
      <c r="G761" s="96">
        <v>145.23224999999999</v>
      </c>
      <c r="H761" s="95"/>
      <c r="I761" s="95"/>
      <c r="J761" s="95"/>
      <c r="K761" s="95"/>
      <c r="L761" s="95"/>
      <c r="M761" s="95"/>
      <c r="N761" s="95"/>
      <c r="O761" s="95"/>
      <c r="P761" s="95"/>
    </row>
    <row r="762" spans="1:16" s="81" customFormat="1" ht="38.25" x14ac:dyDescent="0.25">
      <c r="A762" s="110"/>
      <c r="B762" s="95"/>
      <c r="C762" s="95"/>
      <c r="D762" s="76" t="s">
        <v>929</v>
      </c>
      <c r="E762" s="76" t="s">
        <v>54</v>
      </c>
      <c r="F762" s="95"/>
      <c r="G762" s="96">
        <v>-20.523599999999998</v>
      </c>
      <c r="H762" s="95"/>
      <c r="I762" s="95"/>
      <c r="J762" s="95"/>
      <c r="K762" s="95"/>
      <c r="L762" s="95"/>
      <c r="M762" s="95"/>
      <c r="N762" s="95"/>
      <c r="O762" s="95"/>
      <c r="P762" s="95"/>
    </row>
    <row r="763" spans="1:16" s="81" customFormat="1" x14ac:dyDescent="0.25">
      <c r="A763" s="110"/>
      <c r="B763" s="95"/>
      <c r="C763" s="95"/>
      <c r="D763" s="76" t="s">
        <v>54</v>
      </c>
      <c r="E763" s="76" t="s">
        <v>930</v>
      </c>
      <c r="F763" s="95"/>
      <c r="G763" s="96">
        <v>0</v>
      </c>
      <c r="H763" s="95"/>
      <c r="I763" s="95"/>
      <c r="J763" s="95"/>
      <c r="K763" s="95"/>
      <c r="L763" s="95"/>
      <c r="M763" s="95"/>
      <c r="N763" s="95"/>
      <c r="O763" s="95"/>
      <c r="P763" s="95"/>
    </row>
    <row r="764" spans="1:16" s="81" customFormat="1" ht="25.5" x14ac:dyDescent="0.25">
      <c r="A764" s="110"/>
      <c r="B764" s="95"/>
      <c r="C764" s="95"/>
      <c r="D764" s="76" t="s">
        <v>931</v>
      </c>
      <c r="E764" s="76" t="s">
        <v>54</v>
      </c>
      <c r="F764" s="95"/>
      <c r="G764" s="96">
        <v>110.7075</v>
      </c>
      <c r="H764" s="95"/>
      <c r="I764" s="95"/>
      <c r="J764" s="95"/>
      <c r="K764" s="95"/>
      <c r="L764" s="95"/>
      <c r="M764" s="95"/>
      <c r="N764" s="95"/>
      <c r="O764" s="95"/>
      <c r="P764" s="95"/>
    </row>
    <row r="765" spans="1:16" s="81" customFormat="1" x14ac:dyDescent="0.25">
      <c r="A765" s="110"/>
      <c r="B765" s="95"/>
      <c r="C765" s="95"/>
      <c r="D765" s="76" t="s">
        <v>932</v>
      </c>
      <c r="E765" s="76" t="s">
        <v>54</v>
      </c>
      <c r="F765" s="95"/>
      <c r="G765" s="96">
        <v>3.1724999999999999</v>
      </c>
      <c r="H765" s="95"/>
      <c r="I765" s="95"/>
      <c r="J765" s="95"/>
      <c r="K765" s="95"/>
      <c r="L765" s="95"/>
      <c r="M765" s="95"/>
      <c r="N765" s="95"/>
      <c r="O765" s="95"/>
      <c r="P765" s="95"/>
    </row>
    <row r="766" spans="1:16" s="81" customFormat="1" x14ac:dyDescent="0.25">
      <c r="A766" s="110"/>
      <c r="B766" s="95"/>
      <c r="C766" s="95"/>
      <c r="D766" s="76" t="s">
        <v>933</v>
      </c>
      <c r="E766" s="76" t="s">
        <v>54</v>
      </c>
      <c r="F766" s="95"/>
      <c r="G766" s="96">
        <v>2.64</v>
      </c>
      <c r="H766" s="95"/>
      <c r="I766" s="95"/>
      <c r="J766" s="95"/>
      <c r="K766" s="95"/>
      <c r="L766" s="95"/>
      <c r="M766" s="95"/>
      <c r="N766" s="95"/>
      <c r="O766" s="95"/>
      <c r="P766" s="95"/>
    </row>
    <row r="767" spans="1:16" s="81" customFormat="1" ht="25.5" x14ac:dyDescent="0.25">
      <c r="A767" s="110"/>
      <c r="B767" s="95"/>
      <c r="C767" s="95"/>
      <c r="D767" s="76" t="s">
        <v>934</v>
      </c>
      <c r="E767" s="76" t="s">
        <v>54</v>
      </c>
      <c r="F767" s="95"/>
      <c r="G767" s="96">
        <v>349.27812</v>
      </c>
      <c r="H767" s="95"/>
      <c r="I767" s="95"/>
      <c r="J767" s="95"/>
      <c r="K767" s="95"/>
      <c r="L767" s="95"/>
      <c r="M767" s="95"/>
      <c r="N767" s="95"/>
      <c r="O767" s="95"/>
      <c r="P767" s="95"/>
    </row>
    <row r="768" spans="1:16" s="81" customFormat="1" x14ac:dyDescent="0.25">
      <c r="A768" s="110"/>
      <c r="B768" s="95"/>
      <c r="C768" s="95"/>
      <c r="D768" s="76" t="s">
        <v>935</v>
      </c>
      <c r="E768" s="76" t="s">
        <v>54</v>
      </c>
      <c r="F768" s="95"/>
      <c r="G768" s="96">
        <v>145.52199999999999</v>
      </c>
      <c r="H768" s="95"/>
      <c r="I768" s="95"/>
      <c r="J768" s="95"/>
      <c r="K768" s="95"/>
      <c r="L768" s="95"/>
      <c r="M768" s="95"/>
      <c r="N768" s="95"/>
      <c r="O768" s="95"/>
      <c r="P768" s="95"/>
    </row>
    <row r="769" spans="1:76" s="81" customFormat="1" ht="25.5" x14ac:dyDescent="0.25">
      <c r="A769" s="110"/>
      <c r="B769" s="95"/>
      <c r="C769" s="95"/>
      <c r="D769" s="76" t="s">
        <v>936</v>
      </c>
      <c r="E769" s="76" t="s">
        <v>54</v>
      </c>
      <c r="F769" s="95"/>
      <c r="G769" s="96">
        <v>215.92349999999999</v>
      </c>
      <c r="H769" s="95"/>
      <c r="I769" s="95"/>
      <c r="J769" s="95"/>
      <c r="K769" s="95"/>
      <c r="L769" s="95"/>
      <c r="M769" s="95"/>
      <c r="N769" s="95"/>
      <c r="O769" s="95"/>
      <c r="P769" s="95"/>
    </row>
    <row r="770" spans="1:76" s="81" customFormat="1" x14ac:dyDescent="0.25">
      <c r="A770" s="110"/>
      <c r="B770" s="95"/>
      <c r="C770" s="95"/>
      <c r="D770" s="76" t="s">
        <v>937</v>
      </c>
      <c r="E770" s="76" t="s">
        <v>54</v>
      </c>
      <c r="F770" s="95"/>
      <c r="G770" s="96">
        <v>357.702</v>
      </c>
      <c r="H770" s="95"/>
      <c r="I770" s="95"/>
      <c r="J770" s="95"/>
      <c r="K770" s="95"/>
      <c r="L770" s="95"/>
      <c r="M770" s="95"/>
      <c r="N770" s="95"/>
      <c r="O770" s="95"/>
      <c r="P770" s="95"/>
    </row>
    <row r="771" spans="1:76" s="81" customFormat="1" x14ac:dyDescent="0.25">
      <c r="A771" s="110"/>
      <c r="B771" s="95"/>
      <c r="C771" s="95"/>
      <c r="D771" s="76" t="s">
        <v>938</v>
      </c>
      <c r="E771" s="76" t="s">
        <v>54</v>
      </c>
      <c r="F771" s="95"/>
      <c r="G771" s="96">
        <v>2.5564</v>
      </c>
      <c r="H771" s="95"/>
      <c r="I771" s="95"/>
      <c r="J771" s="95"/>
      <c r="K771" s="95"/>
      <c r="L771" s="95"/>
      <c r="M771" s="95"/>
      <c r="N771" s="95"/>
      <c r="O771" s="95"/>
      <c r="P771" s="95"/>
    </row>
    <row r="772" spans="1:76" s="81" customFormat="1" x14ac:dyDescent="0.25">
      <c r="A772" s="66" t="s">
        <v>939</v>
      </c>
      <c r="B772" s="72" t="s">
        <v>55</v>
      </c>
      <c r="C772" s="72" t="s">
        <v>940</v>
      </c>
      <c r="D772" s="174" t="s">
        <v>941</v>
      </c>
      <c r="E772" s="174"/>
      <c r="F772" s="72" t="s">
        <v>192</v>
      </c>
      <c r="G772" s="90">
        <v>2740.6594399999999</v>
      </c>
      <c r="H772" s="91"/>
      <c r="I772" s="92" t="s">
        <v>63</v>
      </c>
      <c r="J772" s="90">
        <f>G772*AO772</f>
        <v>0</v>
      </c>
      <c r="K772" s="90">
        <f>G772*AP772</f>
        <v>0</v>
      </c>
      <c r="L772" s="90">
        <f>G772*H772</f>
        <v>0</v>
      </c>
      <c r="M772" s="90">
        <f>L772*(1+BW772/100)</f>
        <v>0</v>
      </c>
      <c r="N772" s="90">
        <v>4.1000000000000003E-3</v>
      </c>
      <c r="O772" s="90">
        <f>G772*N772</f>
        <v>11.236703704</v>
      </c>
      <c r="P772" s="92" t="s">
        <v>64</v>
      </c>
      <c r="Z772" s="93">
        <f>IF(AQ772="5",BJ772,0)</f>
        <v>0</v>
      </c>
      <c r="AB772" s="93">
        <f>IF(AQ772="1",BH772,0)</f>
        <v>0</v>
      </c>
      <c r="AC772" s="93">
        <f>IF(AQ772="1",BI772,0)</f>
        <v>0</v>
      </c>
      <c r="AD772" s="93">
        <f>IF(AQ772="7",BH772,0)</f>
        <v>0</v>
      </c>
      <c r="AE772" s="93">
        <f>IF(AQ772="7",BI772,0)</f>
        <v>0</v>
      </c>
      <c r="AF772" s="93">
        <f>IF(AQ772="2",BH772,0)</f>
        <v>0</v>
      </c>
      <c r="AG772" s="93">
        <f>IF(AQ772="2",BI772,0)</f>
        <v>0</v>
      </c>
      <c r="AH772" s="93">
        <f>IF(AQ772="0",BJ772,0)</f>
        <v>0</v>
      </c>
      <c r="AI772" s="88" t="s">
        <v>55</v>
      </c>
      <c r="AJ772" s="93">
        <f>IF(AN772=0,L772,0)</f>
        <v>0</v>
      </c>
      <c r="AK772" s="93">
        <f>IF(AN772=12,L772,0)</f>
        <v>0</v>
      </c>
      <c r="AL772" s="93">
        <f>IF(AN772=21,L772,0)</f>
        <v>0</v>
      </c>
      <c r="AN772" s="93">
        <v>21</v>
      </c>
      <c r="AO772" s="93">
        <f>H772*0.329897959</f>
        <v>0</v>
      </c>
      <c r="AP772" s="93">
        <f>H772*(1-0.329897959)</f>
        <v>0</v>
      </c>
      <c r="AQ772" s="94" t="s">
        <v>59</v>
      </c>
      <c r="AV772" s="93">
        <f>AW772+AX772</f>
        <v>0</v>
      </c>
      <c r="AW772" s="93">
        <f>G772*AO772</f>
        <v>0</v>
      </c>
      <c r="AX772" s="93">
        <f>G772*AP772</f>
        <v>0</v>
      </c>
      <c r="AY772" s="94" t="s">
        <v>870</v>
      </c>
      <c r="AZ772" s="94" t="s">
        <v>871</v>
      </c>
      <c r="BA772" s="88" t="s">
        <v>67</v>
      </c>
      <c r="BC772" s="93">
        <f>AW772+AX772</f>
        <v>0</v>
      </c>
      <c r="BD772" s="93">
        <f>H772/(100-BE772)*100</f>
        <v>0</v>
      </c>
      <c r="BE772" s="93">
        <v>0</v>
      </c>
      <c r="BF772" s="93">
        <f>O772</f>
        <v>11.236703704</v>
      </c>
      <c r="BH772" s="93">
        <f>G772*AO772</f>
        <v>0</v>
      </c>
      <c r="BI772" s="93">
        <f>G772*AP772</f>
        <v>0</v>
      </c>
      <c r="BJ772" s="93">
        <f>G772*H772</f>
        <v>0</v>
      </c>
      <c r="BK772" s="93"/>
      <c r="BL772" s="93">
        <v>60</v>
      </c>
      <c r="BW772" s="93" t="str">
        <f>I772</f>
        <v>21</v>
      </c>
      <c r="BX772" s="2" t="s">
        <v>941</v>
      </c>
    </row>
    <row r="773" spans="1:76" s="81" customFormat="1" ht="13.5" customHeight="1" x14ac:dyDescent="0.25">
      <c r="A773" s="110"/>
      <c r="B773" s="95"/>
      <c r="C773" s="95"/>
      <c r="D773" s="179" t="s">
        <v>882</v>
      </c>
      <c r="E773" s="179"/>
      <c r="F773" s="179"/>
      <c r="G773" s="179"/>
      <c r="H773" s="179"/>
      <c r="I773" s="179"/>
      <c r="J773" s="179"/>
      <c r="K773" s="179"/>
      <c r="L773" s="179"/>
      <c r="M773" s="179"/>
      <c r="N773" s="179"/>
      <c r="O773" s="179"/>
      <c r="P773" s="179"/>
    </row>
    <row r="774" spans="1:76" s="81" customFormat="1" x14ac:dyDescent="0.25">
      <c r="A774" s="110"/>
      <c r="B774" s="95"/>
      <c r="C774" s="95"/>
      <c r="D774" s="76" t="s">
        <v>54</v>
      </c>
      <c r="E774" s="76" t="s">
        <v>886</v>
      </c>
      <c r="F774" s="95"/>
      <c r="G774" s="96">
        <v>0</v>
      </c>
      <c r="H774" s="95"/>
      <c r="I774" s="95"/>
      <c r="J774" s="95"/>
      <c r="K774" s="95"/>
      <c r="L774" s="95"/>
      <c r="M774" s="95"/>
      <c r="N774" s="95"/>
      <c r="O774" s="95"/>
      <c r="P774" s="95"/>
    </row>
    <row r="775" spans="1:76" s="81" customFormat="1" x14ac:dyDescent="0.25">
      <c r="A775" s="110"/>
      <c r="B775" s="95"/>
      <c r="C775" s="95"/>
      <c r="D775" s="76" t="s">
        <v>54</v>
      </c>
      <c r="E775" s="76" t="s">
        <v>299</v>
      </c>
      <c r="F775" s="95"/>
      <c r="G775" s="96">
        <v>0</v>
      </c>
      <c r="H775" s="95"/>
      <c r="I775" s="95"/>
      <c r="J775" s="95"/>
      <c r="K775" s="95"/>
      <c r="L775" s="95"/>
      <c r="M775" s="95"/>
      <c r="N775" s="95"/>
      <c r="O775" s="95"/>
      <c r="P775" s="95"/>
    </row>
    <row r="776" spans="1:76" s="81" customFormat="1" x14ac:dyDescent="0.25">
      <c r="A776" s="110"/>
      <c r="B776" s="95"/>
      <c r="C776" s="95"/>
      <c r="D776" s="76" t="s">
        <v>529</v>
      </c>
      <c r="E776" s="76" t="s">
        <v>54</v>
      </c>
      <c r="F776" s="95"/>
      <c r="G776" s="96">
        <v>3.4100999999999999</v>
      </c>
      <c r="H776" s="95"/>
      <c r="I776" s="95"/>
      <c r="J776" s="95"/>
      <c r="K776" s="95"/>
      <c r="L776" s="95"/>
      <c r="M776" s="95"/>
      <c r="N776" s="95"/>
      <c r="O776" s="95"/>
      <c r="P776" s="95"/>
    </row>
    <row r="777" spans="1:76" s="81" customFormat="1" x14ac:dyDescent="0.25">
      <c r="A777" s="110"/>
      <c r="B777" s="95"/>
      <c r="C777" s="95"/>
      <c r="D777" s="76" t="s">
        <v>530</v>
      </c>
      <c r="E777" s="76" t="s">
        <v>54</v>
      </c>
      <c r="F777" s="95"/>
      <c r="G777" s="96">
        <v>4.3789999999999996</v>
      </c>
      <c r="H777" s="95"/>
      <c r="I777" s="95"/>
      <c r="J777" s="95"/>
      <c r="K777" s="95"/>
      <c r="L777" s="95"/>
      <c r="M777" s="95"/>
      <c r="N777" s="95"/>
      <c r="O777" s="95"/>
      <c r="P777" s="95"/>
    </row>
    <row r="778" spans="1:76" s="81" customFormat="1" x14ac:dyDescent="0.25">
      <c r="A778" s="110"/>
      <c r="B778" s="95"/>
      <c r="C778" s="95"/>
      <c r="D778" s="76" t="s">
        <v>54</v>
      </c>
      <c r="E778" s="76" t="s">
        <v>308</v>
      </c>
      <c r="F778" s="95"/>
      <c r="G778" s="96">
        <v>0</v>
      </c>
      <c r="H778" s="95"/>
      <c r="I778" s="95"/>
      <c r="J778" s="95"/>
      <c r="K778" s="95"/>
      <c r="L778" s="95"/>
      <c r="M778" s="95"/>
      <c r="N778" s="95"/>
      <c r="O778" s="95"/>
      <c r="P778" s="95"/>
    </row>
    <row r="779" spans="1:76" s="81" customFormat="1" x14ac:dyDescent="0.25">
      <c r="A779" s="110"/>
      <c r="B779" s="95"/>
      <c r="C779" s="95"/>
      <c r="D779" s="76" t="s">
        <v>531</v>
      </c>
      <c r="E779" s="76" t="s">
        <v>54</v>
      </c>
      <c r="F779" s="95"/>
      <c r="G779" s="96">
        <v>2.9834999999999998</v>
      </c>
      <c r="H779" s="95"/>
      <c r="I779" s="95"/>
      <c r="J779" s="95"/>
      <c r="K779" s="95"/>
      <c r="L779" s="95"/>
      <c r="M779" s="95"/>
      <c r="N779" s="95"/>
      <c r="O779" s="95"/>
      <c r="P779" s="95"/>
    </row>
    <row r="780" spans="1:76" s="81" customFormat="1" x14ac:dyDescent="0.25">
      <c r="A780" s="110"/>
      <c r="B780" s="95"/>
      <c r="C780" s="95"/>
      <c r="D780" s="76" t="s">
        <v>532</v>
      </c>
      <c r="E780" s="76" t="s">
        <v>54</v>
      </c>
      <c r="F780" s="95"/>
      <c r="G780" s="96">
        <v>2.1648000000000001</v>
      </c>
      <c r="H780" s="95"/>
      <c r="I780" s="95"/>
      <c r="J780" s="95"/>
      <c r="K780" s="95"/>
      <c r="L780" s="95"/>
      <c r="M780" s="95"/>
      <c r="N780" s="95"/>
      <c r="O780" s="95"/>
      <c r="P780" s="95"/>
    </row>
    <row r="781" spans="1:76" s="81" customFormat="1" x14ac:dyDescent="0.25">
      <c r="A781" s="110"/>
      <c r="B781" s="95"/>
      <c r="C781" s="95"/>
      <c r="D781" s="76" t="s">
        <v>54</v>
      </c>
      <c r="E781" s="76" t="s">
        <v>299</v>
      </c>
      <c r="F781" s="95"/>
      <c r="G781" s="96">
        <v>0</v>
      </c>
      <c r="H781" s="95"/>
      <c r="I781" s="95"/>
      <c r="J781" s="95"/>
      <c r="K781" s="95"/>
      <c r="L781" s="95"/>
      <c r="M781" s="95"/>
      <c r="N781" s="95"/>
      <c r="O781" s="95"/>
      <c r="P781" s="95"/>
    </row>
    <row r="782" spans="1:76" s="81" customFormat="1" x14ac:dyDescent="0.25">
      <c r="A782" s="110"/>
      <c r="B782" s="95"/>
      <c r="C782" s="95"/>
      <c r="D782" s="76" t="s">
        <v>536</v>
      </c>
      <c r="E782" s="76" t="s">
        <v>54</v>
      </c>
      <c r="F782" s="95"/>
      <c r="G782" s="96">
        <v>23.823499999999999</v>
      </c>
      <c r="H782" s="95"/>
      <c r="I782" s="95"/>
      <c r="J782" s="95"/>
      <c r="K782" s="95"/>
      <c r="L782" s="95"/>
      <c r="M782" s="95"/>
      <c r="N782" s="95"/>
      <c r="O782" s="95"/>
      <c r="P782" s="95"/>
    </row>
    <row r="783" spans="1:76" s="81" customFormat="1" x14ac:dyDescent="0.25">
      <c r="A783" s="110"/>
      <c r="B783" s="95"/>
      <c r="C783" s="95"/>
      <c r="D783" s="76" t="s">
        <v>54</v>
      </c>
      <c r="E783" s="76" t="s">
        <v>308</v>
      </c>
      <c r="F783" s="95"/>
      <c r="G783" s="96">
        <v>0</v>
      </c>
      <c r="H783" s="95"/>
      <c r="I783" s="95"/>
      <c r="J783" s="95"/>
      <c r="K783" s="95"/>
      <c r="L783" s="95"/>
      <c r="M783" s="95"/>
      <c r="N783" s="95"/>
      <c r="O783" s="95"/>
      <c r="P783" s="95"/>
    </row>
    <row r="784" spans="1:76" s="81" customFormat="1" x14ac:dyDescent="0.25">
      <c r="A784" s="110"/>
      <c r="B784" s="95"/>
      <c r="C784" s="95"/>
      <c r="D784" s="76" t="s">
        <v>537</v>
      </c>
      <c r="E784" s="76" t="s">
        <v>54</v>
      </c>
      <c r="F784" s="95"/>
      <c r="G784" s="96">
        <v>19.78762</v>
      </c>
      <c r="H784" s="95"/>
      <c r="I784" s="95"/>
      <c r="J784" s="95"/>
      <c r="K784" s="95"/>
      <c r="L784" s="95"/>
      <c r="M784" s="95"/>
      <c r="N784" s="95"/>
      <c r="O784" s="95"/>
      <c r="P784" s="95"/>
    </row>
    <row r="785" spans="1:16" s="81" customFormat="1" x14ac:dyDescent="0.25">
      <c r="A785" s="110"/>
      <c r="B785" s="95"/>
      <c r="C785" s="95"/>
      <c r="D785" s="76" t="s">
        <v>538</v>
      </c>
      <c r="E785" s="76" t="s">
        <v>54</v>
      </c>
      <c r="F785" s="95"/>
      <c r="G785" s="96">
        <v>4.8555000000000001</v>
      </c>
      <c r="H785" s="95"/>
      <c r="I785" s="95"/>
      <c r="J785" s="95"/>
      <c r="K785" s="95"/>
      <c r="L785" s="95"/>
      <c r="M785" s="95"/>
      <c r="N785" s="95"/>
      <c r="O785" s="95"/>
      <c r="P785" s="95"/>
    </row>
    <row r="786" spans="1:16" s="81" customFormat="1" x14ac:dyDescent="0.25">
      <c r="A786" s="110"/>
      <c r="B786" s="95"/>
      <c r="C786" s="95"/>
      <c r="D786" s="76" t="s">
        <v>539</v>
      </c>
      <c r="E786" s="76" t="s">
        <v>54</v>
      </c>
      <c r="F786" s="95"/>
      <c r="G786" s="96">
        <v>26.229749999999999</v>
      </c>
      <c r="H786" s="95"/>
      <c r="I786" s="95"/>
      <c r="J786" s="95"/>
      <c r="K786" s="95"/>
      <c r="L786" s="95"/>
      <c r="M786" s="95"/>
      <c r="N786" s="95"/>
      <c r="O786" s="95"/>
      <c r="P786" s="95"/>
    </row>
    <row r="787" spans="1:16" s="81" customFormat="1" x14ac:dyDescent="0.25">
      <c r="A787" s="110"/>
      <c r="B787" s="95"/>
      <c r="C787" s="95"/>
      <c r="D787" s="76" t="s">
        <v>54</v>
      </c>
      <c r="E787" s="76" t="s">
        <v>299</v>
      </c>
      <c r="F787" s="95"/>
      <c r="G787" s="96">
        <v>0</v>
      </c>
      <c r="H787" s="95"/>
      <c r="I787" s="95"/>
      <c r="J787" s="95"/>
      <c r="K787" s="95"/>
      <c r="L787" s="95"/>
      <c r="M787" s="95"/>
      <c r="N787" s="95"/>
      <c r="O787" s="95"/>
      <c r="P787" s="95"/>
    </row>
    <row r="788" spans="1:16" s="81" customFormat="1" x14ac:dyDescent="0.25">
      <c r="A788" s="110"/>
      <c r="B788" s="95"/>
      <c r="C788" s="95"/>
      <c r="D788" s="76" t="s">
        <v>887</v>
      </c>
      <c r="E788" s="76" t="s">
        <v>54</v>
      </c>
      <c r="F788" s="95"/>
      <c r="G788" s="96">
        <v>34.655000000000001</v>
      </c>
      <c r="H788" s="95"/>
      <c r="I788" s="95"/>
      <c r="J788" s="95"/>
      <c r="K788" s="95"/>
      <c r="L788" s="95"/>
      <c r="M788" s="95"/>
      <c r="N788" s="95"/>
      <c r="O788" s="95"/>
      <c r="P788" s="95"/>
    </row>
    <row r="789" spans="1:16" s="81" customFormat="1" x14ac:dyDescent="0.25">
      <c r="A789" s="110"/>
      <c r="B789" s="95"/>
      <c r="C789" s="95"/>
      <c r="D789" s="76" t="s">
        <v>888</v>
      </c>
      <c r="E789" s="76" t="s">
        <v>54</v>
      </c>
      <c r="F789" s="95"/>
      <c r="G789" s="96">
        <v>67.28</v>
      </c>
      <c r="H789" s="95"/>
      <c r="I789" s="95"/>
      <c r="J789" s="95"/>
      <c r="K789" s="95"/>
      <c r="L789" s="95"/>
      <c r="M789" s="95"/>
      <c r="N789" s="95"/>
      <c r="O789" s="95"/>
      <c r="P789" s="95"/>
    </row>
    <row r="790" spans="1:16" s="81" customFormat="1" x14ac:dyDescent="0.25">
      <c r="A790" s="110"/>
      <c r="B790" s="95"/>
      <c r="C790" s="95"/>
      <c r="D790" s="76" t="s">
        <v>889</v>
      </c>
      <c r="E790" s="76" t="s">
        <v>54</v>
      </c>
      <c r="F790" s="95"/>
      <c r="G790" s="96">
        <v>15.03</v>
      </c>
      <c r="H790" s="95"/>
      <c r="I790" s="95"/>
      <c r="J790" s="95"/>
      <c r="K790" s="95"/>
      <c r="L790" s="95"/>
      <c r="M790" s="95"/>
      <c r="N790" s="95"/>
      <c r="O790" s="95"/>
      <c r="P790" s="95"/>
    </row>
    <row r="791" spans="1:16" s="81" customFormat="1" x14ac:dyDescent="0.25">
      <c r="A791" s="110"/>
      <c r="B791" s="95"/>
      <c r="C791" s="95"/>
      <c r="D791" s="76" t="s">
        <v>890</v>
      </c>
      <c r="E791" s="76" t="s">
        <v>54</v>
      </c>
      <c r="F791" s="95"/>
      <c r="G791" s="96">
        <v>-11.76</v>
      </c>
      <c r="H791" s="95"/>
      <c r="I791" s="95"/>
      <c r="J791" s="95"/>
      <c r="K791" s="95"/>
      <c r="L791" s="95"/>
      <c r="M791" s="95"/>
      <c r="N791" s="95"/>
      <c r="O791" s="95"/>
      <c r="P791" s="95"/>
    </row>
    <row r="792" spans="1:16" s="81" customFormat="1" x14ac:dyDescent="0.25">
      <c r="A792" s="110"/>
      <c r="B792" s="95"/>
      <c r="C792" s="95"/>
      <c r="D792" s="76" t="s">
        <v>54</v>
      </c>
      <c r="E792" s="76" t="s">
        <v>308</v>
      </c>
      <c r="F792" s="95"/>
      <c r="G792" s="96">
        <v>0</v>
      </c>
      <c r="H792" s="95"/>
      <c r="I792" s="95"/>
      <c r="J792" s="95"/>
      <c r="K792" s="95"/>
      <c r="L792" s="95"/>
      <c r="M792" s="95"/>
      <c r="N792" s="95"/>
      <c r="O792" s="95"/>
      <c r="P792" s="95"/>
    </row>
    <row r="793" spans="1:16" s="81" customFormat="1" x14ac:dyDescent="0.25">
      <c r="A793" s="110"/>
      <c r="B793" s="95"/>
      <c r="C793" s="95"/>
      <c r="D793" s="76" t="s">
        <v>891</v>
      </c>
      <c r="E793" s="76" t="s">
        <v>54</v>
      </c>
      <c r="F793" s="95"/>
      <c r="G793" s="96">
        <v>25.432500000000001</v>
      </c>
      <c r="H793" s="95"/>
      <c r="I793" s="95"/>
      <c r="J793" s="95"/>
      <c r="K793" s="95"/>
      <c r="L793" s="95"/>
      <c r="M793" s="95"/>
      <c r="N793" s="95"/>
      <c r="O793" s="95"/>
      <c r="P793" s="95"/>
    </row>
    <row r="794" spans="1:16" s="81" customFormat="1" x14ac:dyDescent="0.25">
      <c r="A794" s="110"/>
      <c r="B794" s="95"/>
      <c r="C794" s="95"/>
      <c r="D794" s="76" t="s">
        <v>892</v>
      </c>
      <c r="E794" s="76" t="s">
        <v>54</v>
      </c>
      <c r="F794" s="95"/>
      <c r="G794" s="96">
        <v>59.85</v>
      </c>
      <c r="H794" s="95"/>
      <c r="I794" s="95"/>
      <c r="J794" s="95"/>
      <c r="K794" s="95"/>
      <c r="L794" s="95"/>
      <c r="M794" s="95"/>
      <c r="N794" s="95"/>
      <c r="O794" s="95"/>
      <c r="P794" s="95"/>
    </row>
    <row r="795" spans="1:16" s="81" customFormat="1" x14ac:dyDescent="0.25">
      <c r="A795" s="110"/>
      <c r="B795" s="95"/>
      <c r="C795" s="95"/>
      <c r="D795" s="76" t="s">
        <v>54</v>
      </c>
      <c r="E795" s="76" t="s">
        <v>299</v>
      </c>
      <c r="F795" s="95"/>
      <c r="G795" s="96">
        <v>0</v>
      </c>
      <c r="H795" s="95"/>
      <c r="I795" s="95"/>
      <c r="J795" s="95"/>
      <c r="K795" s="95"/>
      <c r="L795" s="95"/>
      <c r="M795" s="95"/>
      <c r="N795" s="95"/>
      <c r="O795" s="95"/>
      <c r="P795" s="95"/>
    </row>
    <row r="796" spans="1:16" s="81" customFormat="1" x14ac:dyDescent="0.25">
      <c r="A796" s="110"/>
      <c r="B796" s="95"/>
      <c r="C796" s="95"/>
      <c r="D796" s="76" t="s">
        <v>893</v>
      </c>
      <c r="E796" s="76" t="s">
        <v>54</v>
      </c>
      <c r="F796" s="95"/>
      <c r="G796" s="96">
        <v>34.020000000000003</v>
      </c>
      <c r="H796" s="95"/>
      <c r="I796" s="95"/>
      <c r="J796" s="95"/>
      <c r="K796" s="95"/>
      <c r="L796" s="95"/>
      <c r="M796" s="95"/>
      <c r="N796" s="95"/>
      <c r="O796" s="95"/>
      <c r="P796" s="95"/>
    </row>
    <row r="797" spans="1:16" s="81" customFormat="1" x14ac:dyDescent="0.25">
      <c r="A797" s="110"/>
      <c r="B797" s="95"/>
      <c r="C797" s="95"/>
      <c r="D797" s="76" t="s">
        <v>894</v>
      </c>
      <c r="E797" s="76" t="s">
        <v>54</v>
      </c>
      <c r="F797" s="95"/>
      <c r="G797" s="96">
        <v>69.89</v>
      </c>
      <c r="H797" s="95"/>
      <c r="I797" s="95"/>
      <c r="J797" s="95"/>
      <c r="K797" s="95"/>
      <c r="L797" s="95"/>
      <c r="M797" s="95"/>
      <c r="N797" s="95"/>
      <c r="O797" s="95"/>
      <c r="P797" s="95"/>
    </row>
    <row r="798" spans="1:16" s="81" customFormat="1" ht="25.5" x14ac:dyDescent="0.25">
      <c r="A798" s="110"/>
      <c r="B798" s="95"/>
      <c r="C798" s="95"/>
      <c r="D798" s="76" t="s">
        <v>895</v>
      </c>
      <c r="E798" s="76" t="s">
        <v>54</v>
      </c>
      <c r="F798" s="95"/>
      <c r="G798" s="96">
        <v>189.25399999999999</v>
      </c>
      <c r="H798" s="95"/>
      <c r="I798" s="95"/>
      <c r="J798" s="95"/>
      <c r="K798" s="95"/>
      <c r="L798" s="95"/>
      <c r="M798" s="95"/>
      <c r="N798" s="95"/>
      <c r="O798" s="95"/>
      <c r="P798" s="95"/>
    </row>
    <row r="799" spans="1:16" s="81" customFormat="1" x14ac:dyDescent="0.25">
      <c r="A799" s="110"/>
      <c r="B799" s="95"/>
      <c r="C799" s="95"/>
      <c r="D799" s="76" t="s">
        <v>896</v>
      </c>
      <c r="E799" s="76" t="s">
        <v>54</v>
      </c>
      <c r="F799" s="95"/>
      <c r="G799" s="96">
        <v>-13.86</v>
      </c>
      <c r="H799" s="95"/>
      <c r="I799" s="95"/>
      <c r="J799" s="95"/>
      <c r="K799" s="95"/>
      <c r="L799" s="95"/>
      <c r="M799" s="95"/>
      <c r="N799" s="95"/>
      <c r="O799" s="95"/>
      <c r="P799" s="95"/>
    </row>
    <row r="800" spans="1:16" s="81" customFormat="1" x14ac:dyDescent="0.25">
      <c r="A800" s="110"/>
      <c r="B800" s="95"/>
      <c r="C800" s="95"/>
      <c r="D800" s="76" t="s">
        <v>54</v>
      </c>
      <c r="E800" s="76" t="s">
        <v>308</v>
      </c>
      <c r="F800" s="95"/>
      <c r="G800" s="96">
        <v>0</v>
      </c>
      <c r="H800" s="95"/>
      <c r="I800" s="95"/>
      <c r="J800" s="95"/>
      <c r="K800" s="95"/>
      <c r="L800" s="95"/>
      <c r="M800" s="95"/>
      <c r="N800" s="95"/>
      <c r="O800" s="95"/>
      <c r="P800" s="95"/>
    </row>
    <row r="801" spans="1:16" s="81" customFormat="1" ht="25.5" x14ac:dyDescent="0.25">
      <c r="A801" s="110"/>
      <c r="B801" s="95"/>
      <c r="C801" s="95"/>
      <c r="D801" s="76" t="s">
        <v>899</v>
      </c>
      <c r="E801" s="76" t="s">
        <v>54</v>
      </c>
      <c r="F801" s="95"/>
      <c r="G801" s="96">
        <v>252.1935</v>
      </c>
      <c r="H801" s="95"/>
      <c r="I801" s="95"/>
      <c r="J801" s="95"/>
      <c r="K801" s="95"/>
      <c r="L801" s="95"/>
      <c r="M801" s="95"/>
      <c r="N801" s="95"/>
      <c r="O801" s="95"/>
      <c r="P801" s="95"/>
    </row>
    <row r="802" spans="1:16" s="81" customFormat="1" x14ac:dyDescent="0.25">
      <c r="A802" s="110"/>
      <c r="B802" s="95"/>
      <c r="C802" s="95"/>
      <c r="D802" s="76" t="s">
        <v>901</v>
      </c>
      <c r="E802" s="76" t="s">
        <v>54</v>
      </c>
      <c r="F802" s="95"/>
      <c r="G802" s="96">
        <v>-23.1</v>
      </c>
      <c r="H802" s="95"/>
      <c r="I802" s="95"/>
      <c r="J802" s="95"/>
      <c r="K802" s="95"/>
      <c r="L802" s="95"/>
      <c r="M802" s="95"/>
      <c r="N802" s="95"/>
      <c r="O802" s="95"/>
      <c r="P802" s="95"/>
    </row>
    <row r="803" spans="1:16" s="81" customFormat="1" ht="25.5" x14ac:dyDescent="0.25">
      <c r="A803" s="110"/>
      <c r="B803" s="95"/>
      <c r="C803" s="95"/>
      <c r="D803" s="76" t="s">
        <v>931</v>
      </c>
      <c r="E803" s="76" t="s">
        <v>54</v>
      </c>
      <c r="F803" s="95"/>
      <c r="G803" s="96">
        <v>110.7075</v>
      </c>
      <c r="H803" s="95"/>
      <c r="I803" s="95"/>
      <c r="J803" s="95"/>
      <c r="K803" s="95"/>
      <c r="L803" s="95"/>
      <c r="M803" s="95"/>
      <c r="N803" s="95"/>
      <c r="O803" s="95"/>
      <c r="P803" s="95"/>
    </row>
    <row r="804" spans="1:16" s="81" customFormat="1" x14ac:dyDescent="0.25">
      <c r="A804" s="110"/>
      <c r="B804" s="95"/>
      <c r="C804" s="95"/>
      <c r="D804" s="76" t="s">
        <v>937</v>
      </c>
      <c r="E804" s="76" t="s">
        <v>54</v>
      </c>
      <c r="F804" s="95"/>
      <c r="G804" s="96">
        <v>357.702</v>
      </c>
      <c r="H804" s="95"/>
      <c r="I804" s="95"/>
      <c r="J804" s="95"/>
      <c r="K804" s="95"/>
      <c r="L804" s="95"/>
      <c r="M804" s="95"/>
      <c r="N804" s="95"/>
      <c r="O804" s="95"/>
      <c r="P804" s="95"/>
    </row>
    <row r="805" spans="1:16" s="81" customFormat="1" x14ac:dyDescent="0.25">
      <c r="A805" s="110"/>
      <c r="B805" s="95"/>
      <c r="C805" s="95"/>
      <c r="D805" s="76" t="s">
        <v>54</v>
      </c>
      <c r="E805" s="76" t="s">
        <v>897</v>
      </c>
      <c r="F805" s="95"/>
      <c r="G805" s="96">
        <v>0</v>
      </c>
      <c r="H805" s="95"/>
      <c r="I805" s="95"/>
      <c r="J805" s="95"/>
      <c r="K805" s="95"/>
      <c r="L805" s="95"/>
      <c r="M805" s="95"/>
      <c r="N805" s="95"/>
      <c r="O805" s="95"/>
      <c r="P805" s="95"/>
    </row>
    <row r="806" spans="1:16" s="81" customFormat="1" x14ac:dyDescent="0.25">
      <c r="A806" s="110"/>
      <c r="B806" s="95"/>
      <c r="C806" s="95"/>
      <c r="D806" s="76" t="s">
        <v>54</v>
      </c>
      <c r="E806" s="76" t="s">
        <v>898</v>
      </c>
      <c r="F806" s="95"/>
      <c r="G806" s="96">
        <v>0</v>
      </c>
      <c r="H806" s="95"/>
      <c r="I806" s="95"/>
      <c r="J806" s="95"/>
      <c r="K806" s="95"/>
      <c r="L806" s="95"/>
      <c r="M806" s="95"/>
      <c r="N806" s="95"/>
      <c r="O806" s="95"/>
      <c r="P806" s="95"/>
    </row>
    <row r="807" spans="1:16" s="81" customFormat="1" ht="25.5" x14ac:dyDescent="0.25">
      <c r="A807" s="110"/>
      <c r="B807" s="95"/>
      <c r="C807" s="95"/>
      <c r="D807" s="76" t="s">
        <v>934</v>
      </c>
      <c r="E807" s="76" t="s">
        <v>54</v>
      </c>
      <c r="F807" s="95"/>
      <c r="G807" s="96">
        <v>349.27812</v>
      </c>
      <c r="H807" s="95"/>
      <c r="I807" s="95"/>
      <c r="J807" s="95"/>
      <c r="K807" s="95"/>
      <c r="L807" s="95"/>
      <c r="M807" s="95"/>
      <c r="N807" s="95"/>
      <c r="O807" s="95"/>
      <c r="P807" s="95"/>
    </row>
    <row r="808" spans="1:16" s="81" customFormat="1" x14ac:dyDescent="0.25">
      <c r="A808" s="110"/>
      <c r="B808" s="95"/>
      <c r="C808" s="95"/>
      <c r="D808" s="76" t="s">
        <v>905</v>
      </c>
      <c r="E808" s="76" t="s">
        <v>54</v>
      </c>
      <c r="F808" s="95"/>
      <c r="G808" s="96">
        <v>1.8304</v>
      </c>
      <c r="H808" s="95"/>
      <c r="I808" s="95"/>
      <c r="J808" s="95"/>
      <c r="K808" s="95"/>
      <c r="L808" s="95"/>
      <c r="M808" s="95"/>
      <c r="N808" s="95"/>
      <c r="O808" s="95"/>
      <c r="P808" s="95"/>
    </row>
    <row r="809" spans="1:16" s="81" customFormat="1" ht="25.5" x14ac:dyDescent="0.25">
      <c r="A809" s="110"/>
      <c r="B809" s="95"/>
      <c r="C809" s="95"/>
      <c r="D809" s="76" t="s">
        <v>902</v>
      </c>
      <c r="E809" s="76" t="s">
        <v>54</v>
      </c>
      <c r="F809" s="95"/>
      <c r="G809" s="96">
        <v>6.8787000000000003</v>
      </c>
      <c r="H809" s="95"/>
      <c r="I809" s="95"/>
      <c r="J809" s="95"/>
      <c r="K809" s="95"/>
      <c r="L809" s="95"/>
      <c r="M809" s="95"/>
      <c r="N809" s="95"/>
      <c r="O809" s="95"/>
      <c r="P809" s="95"/>
    </row>
    <row r="810" spans="1:16" s="81" customFormat="1" x14ac:dyDescent="0.25">
      <c r="A810" s="110"/>
      <c r="B810" s="95"/>
      <c r="C810" s="95"/>
      <c r="D810" s="76" t="s">
        <v>900</v>
      </c>
      <c r="E810" s="76" t="s">
        <v>54</v>
      </c>
      <c r="F810" s="95"/>
      <c r="G810" s="96">
        <v>19.16337</v>
      </c>
      <c r="H810" s="95"/>
      <c r="I810" s="95"/>
      <c r="J810" s="95"/>
      <c r="K810" s="95"/>
      <c r="L810" s="95"/>
      <c r="M810" s="95"/>
      <c r="N810" s="95"/>
      <c r="O810" s="95"/>
      <c r="P810" s="95"/>
    </row>
    <row r="811" spans="1:16" s="81" customFormat="1" ht="25.5" x14ac:dyDescent="0.25">
      <c r="A811" s="110"/>
      <c r="B811" s="95"/>
      <c r="C811" s="95"/>
      <c r="D811" s="76" t="s">
        <v>936</v>
      </c>
      <c r="E811" s="76" t="s">
        <v>54</v>
      </c>
      <c r="F811" s="95"/>
      <c r="G811" s="96">
        <v>215.92349999999999</v>
      </c>
      <c r="H811" s="95"/>
      <c r="I811" s="95"/>
      <c r="J811" s="95"/>
      <c r="K811" s="95"/>
      <c r="L811" s="95"/>
      <c r="M811" s="95"/>
      <c r="N811" s="95"/>
      <c r="O811" s="95"/>
      <c r="P811" s="95"/>
    </row>
    <row r="812" spans="1:16" s="81" customFormat="1" x14ac:dyDescent="0.25">
      <c r="A812" s="110"/>
      <c r="B812" s="95"/>
      <c r="C812" s="95"/>
      <c r="D812" s="76" t="s">
        <v>938</v>
      </c>
      <c r="E812" s="76" t="s">
        <v>54</v>
      </c>
      <c r="F812" s="95"/>
      <c r="G812" s="96">
        <v>2.5564</v>
      </c>
      <c r="H812" s="95"/>
      <c r="I812" s="95"/>
      <c r="J812" s="95"/>
      <c r="K812" s="95"/>
      <c r="L812" s="95"/>
      <c r="M812" s="95"/>
      <c r="N812" s="95"/>
      <c r="O812" s="95"/>
      <c r="P812" s="95"/>
    </row>
    <row r="813" spans="1:16" s="81" customFormat="1" x14ac:dyDescent="0.25">
      <c r="A813" s="110"/>
      <c r="B813" s="95"/>
      <c r="C813" s="95"/>
      <c r="D813" s="76" t="s">
        <v>935</v>
      </c>
      <c r="E813" s="76" t="s">
        <v>54</v>
      </c>
      <c r="F813" s="95"/>
      <c r="G813" s="96">
        <v>145.52199999999999</v>
      </c>
      <c r="H813" s="95"/>
      <c r="I813" s="95"/>
      <c r="J813" s="95"/>
      <c r="K813" s="95"/>
      <c r="L813" s="95"/>
      <c r="M813" s="95"/>
      <c r="N813" s="95"/>
      <c r="O813" s="95"/>
      <c r="P813" s="95"/>
    </row>
    <row r="814" spans="1:16" s="81" customFormat="1" x14ac:dyDescent="0.25">
      <c r="A814" s="110"/>
      <c r="B814" s="95"/>
      <c r="C814" s="95"/>
      <c r="D814" s="76" t="s">
        <v>903</v>
      </c>
      <c r="E814" s="76" t="s">
        <v>54</v>
      </c>
      <c r="F814" s="95"/>
      <c r="G814" s="96">
        <v>-8.8512500000000003</v>
      </c>
      <c r="H814" s="95"/>
      <c r="I814" s="95"/>
      <c r="J814" s="95"/>
      <c r="K814" s="95"/>
      <c r="L814" s="95"/>
      <c r="M814" s="95"/>
      <c r="N814" s="95"/>
      <c r="O814" s="95"/>
      <c r="P814" s="95"/>
    </row>
    <row r="815" spans="1:16" s="81" customFormat="1" x14ac:dyDescent="0.25">
      <c r="A815" s="110"/>
      <c r="B815" s="95"/>
      <c r="C815" s="95"/>
      <c r="D815" s="76" t="s">
        <v>904</v>
      </c>
      <c r="E815" s="76" t="s">
        <v>54</v>
      </c>
      <c r="F815" s="95"/>
      <c r="G815" s="96">
        <v>2.6827800000000002</v>
      </c>
      <c r="H815" s="95"/>
      <c r="I815" s="95"/>
      <c r="J815" s="95"/>
      <c r="K815" s="95"/>
      <c r="L815" s="95"/>
      <c r="M815" s="95"/>
      <c r="N815" s="95"/>
      <c r="O815" s="95"/>
      <c r="P815" s="95"/>
    </row>
    <row r="816" spans="1:16" s="81" customFormat="1" x14ac:dyDescent="0.25">
      <c r="A816" s="110"/>
      <c r="B816" s="95"/>
      <c r="C816" s="95"/>
      <c r="D816" s="76" t="s">
        <v>933</v>
      </c>
      <c r="E816" s="76" t="s">
        <v>54</v>
      </c>
      <c r="F816" s="95"/>
      <c r="G816" s="96">
        <v>2.64</v>
      </c>
      <c r="H816" s="95"/>
      <c r="I816" s="95"/>
      <c r="J816" s="95"/>
      <c r="K816" s="95"/>
      <c r="L816" s="95"/>
      <c r="M816" s="95"/>
      <c r="N816" s="95"/>
      <c r="O816" s="95"/>
      <c r="P816" s="95"/>
    </row>
    <row r="817" spans="1:16" s="81" customFormat="1" x14ac:dyDescent="0.25">
      <c r="A817" s="110"/>
      <c r="B817" s="95"/>
      <c r="C817" s="95"/>
      <c r="D817" s="76" t="s">
        <v>906</v>
      </c>
      <c r="E817" s="76" t="s">
        <v>54</v>
      </c>
      <c r="F817" s="95"/>
      <c r="G817" s="96">
        <v>108.69199999999999</v>
      </c>
      <c r="H817" s="95"/>
      <c r="I817" s="95"/>
      <c r="J817" s="95"/>
      <c r="K817" s="95"/>
      <c r="L817" s="95"/>
      <c r="M817" s="95"/>
      <c r="N817" s="95"/>
      <c r="O817" s="95"/>
      <c r="P817" s="95"/>
    </row>
    <row r="818" spans="1:16" s="81" customFormat="1" x14ac:dyDescent="0.25">
      <c r="A818" s="110"/>
      <c r="B818" s="95"/>
      <c r="C818" s="95"/>
      <c r="D818" s="76" t="s">
        <v>907</v>
      </c>
      <c r="E818" s="76" t="s">
        <v>54</v>
      </c>
      <c r="F818" s="95"/>
      <c r="G818" s="96">
        <v>-16.143750000000001</v>
      </c>
      <c r="H818" s="95"/>
      <c r="I818" s="95"/>
      <c r="J818" s="95"/>
      <c r="K818" s="95"/>
      <c r="L818" s="95"/>
      <c r="M818" s="95"/>
      <c r="N818" s="95"/>
      <c r="O818" s="95"/>
      <c r="P818" s="95"/>
    </row>
    <row r="819" spans="1:16" s="81" customFormat="1" x14ac:dyDescent="0.25">
      <c r="A819" s="110"/>
      <c r="B819" s="95"/>
      <c r="C819" s="95"/>
      <c r="D819" s="76" t="s">
        <v>908</v>
      </c>
      <c r="E819" s="76" t="s">
        <v>54</v>
      </c>
      <c r="F819" s="95"/>
      <c r="G819" s="96">
        <v>10.2525</v>
      </c>
      <c r="H819" s="95"/>
      <c r="I819" s="95"/>
      <c r="J819" s="95"/>
      <c r="K819" s="95"/>
      <c r="L819" s="95"/>
      <c r="M819" s="95"/>
      <c r="N819" s="95"/>
      <c r="O819" s="95"/>
      <c r="P819" s="95"/>
    </row>
    <row r="820" spans="1:16" s="81" customFormat="1" x14ac:dyDescent="0.25">
      <c r="A820" s="110"/>
      <c r="B820" s="95"/>
      <c r="C820" s="95"/>
      <c r="D820" s="76" t="s">
        <v>909</v>
      </c>
      <c r="E820" s="76" t="s">
        <v>54</v>
      </c>
      <c r="F820" s="95"/>
      <c r="G820" s="96">
        <v>80.547499999999999</v>
      </c>
      <c r="H820" s="95"/>
      <c r="I820" s="95"/>
      <c r="J820" s="95"/>
      <c r="K820" s="95"/>
      <c r="L820" s="95"/>
      <c r="M820" s="95"/>
      <c r="N820" s="95"/>
      <c r="O820" s="95"/>
      <c r="P820" s="95"/>
    </row>
    <row r="821" spans="1:16" s="81" customFormat="1" x14ac:dyDescent="0.25">
      <c r="A821" s="110"/>
      <c r="B821" s="95"/>
      <c r="C821" s="95"/>
      <c r="D821" s="76" t="s">
        <v>910</v>
      </c>
      <c r="E821" s="76" t="s">
        <v>54</v>
      </c>
      <c r="F821" s="95"/>
      <c r="G821" s="96">
        <v>-4.4917999999999996</v>
      </c>
      <c r="H821" s="95"/>
      <c r="I821" s="95"/>
      <c r="J821" s="95"/>
      <c r="K821" s="95"/>
      <c r="L821" s="95"/>
      <c r="M821" s="95"/>
      <c r="N821" s="95"/>
      <c r="O821" s="95"/>
      <c r="P821" s="95"/>
    </row>
    <row r="822" spans="1:16" s="81" customFormat="1" ht="25.5" x14ac:dyDescent="0.25">
      <c r="A822" s="110"/>
      <c r="B822" s="95"/>
      <c r="C822" s="95"/>
      <c r="D822" s="76" t="s">
        <v>911</v>
      </c>
      <c r="E822" s="76" t="s">
        <v>54</v>
      </c>
      <c r="F822" s="95"/>
      <c r="G822" s="96">
        <v>209.75700000000001</v>
      </c>
      <c r="H822" s="95"/>
      <c r="I822" s="95"/>
      <c r="J822" s="95"/>
      <c r="K822" s="95"/>
      <c r="L822" s="95"/>
      <c r="M822" s="95"/>
      <c r="N822" s="95"/>
      <c r="O822" s="95"/>
      <c r="P822" s="95"/>
    </row>
    <row r="823" spans="1:16" s="81" customFormat="1" x14ac:dyDescent="0.25">
      <c r="A823" s="110"/>
      <c r="B823" s="95"/>
      <c r="C823" s="95"/>
      <c r="D823" s="76" t="s">
        <v>912</v>
      </c>
      <c r="E823" s="76" t="s">
        <v>54</v>
      </c>
      <c r="F823" s="95"/>
      <c r="G823" s="96">
        <v>-9.2555999999999994</v>
      </c>
      <c r="H823" s="95"/>
      <c r="I823" s="95"/>
      <c r="J823" s="95"/>
      <c r="K823" s="95"/>
      <c r="L823" s="95"/>
      <c r="M823" s="95"/>
      <c r="N823" s="95"/>
      <c r="O823" s="95"/>
      <c r="P823" s="95"/>
    </row>
    <row r="824" spans="1:16" s="81" customFormat="1" x14ac:dyDescent="0.25">
      <c r="A824" s="110"/>
      <c r="B824" s="95"/>
      <c r="C824" s="95"/>
      <c r="D824" s="76" t="s">
        <v>913</v>
      </c>
      <c r="E824" s="76" t="s">
        <v>54</v>
      </c>
      <c r="F824" s="95"/>
      <c r="G824" s="96">
        <v>0.59399999999999997</v>
      </c>
      <c r="H824" s="95"/>
      <c r="I824" s="95"/>
      <c r="J824" s="95"/>
      <c r="K824" s="95"/>
      <c r="L824" s="95"/>
      <c r="M824" s="95"/>
      <c r="N824" s="95"/>
      <c r="O824" s="95"/>
      <c r="P824" s="95"/>
    </row>
    <row r="825" spans="1:16" s="81" customFormat="1" x14ac:dyDescent="0.25">
      <c r="A825" s="110"/>
      <c r="B825" s="95"/>
      <c r="C825" s="95"/>
      <c r="D825" s="76" t="s">
        <v>914</v>
      </c>
      <c r="E825" s="76" t="s">
        <v>54</v>
      </c>
      <c r="F825" s="95"/>
      <c r="G825" s="96">
        <v>32.835999999999999</v>
      </c>
      <c r="H825" s="95"/>
      <c r="I825" s="95"/>
      <c r="J825" s="95"/>
      <c r="K825" s="95"/>
      <c r="L825" s="95"/>
      <c r="M825" s="95"/>
      <c r="N825" s="95"/>
      <c r="O825" s="95"/>
      <c r="P825" s="95"/>
    </row>
    <row r="826" spans="1:16" s="81" customFormat="1" x14ac:dyDescent="0.25">
      <c r="A826" s="110"/>
      <c r="B826" s="95"/>
      <c r="C826" s="95"/>
      <c r="D826" s="76" t="s">
        <v>915</v>
      </c>
      <c r="E826" s="76" t="s">
        <v>54</v>
      </c>
      <c r="F826" s="95"/>
      <c r="G826" s="96">
        <v>33.0075</v>
      </c>
      <c r="H826" s="95"/>
      <c r="I826" s="95"/>
      <c r="J826" s="95"/>
      <c r="K826" s="95"/>
      <c r="L826" s="95"/>
      <c r="M826" s="95"/>
      <c r="N826" s="95"/>
      <c r="O826" s="95"/>
      <c r="P826" s="95"/>
    </row>
    <row r="827" spans="1:16" s="81" customFormat="1" ht="25.5" x14ac:dyDescent="0.25">
      <c r="A827" s="110"/>
      <c r="B827" s="95"/>
      <c r="C827" s="95"/>
      <c r="D827" s="76" t="s">
        <v>916</v>
      </c>
      <c r="E827" s="76" t="s">
        <v>54</v>
      </c>
      <c r="F827" s="95"/>
      <c r="G827" s="96">
        <v>82.525999999999996</v>
      </c>
      <c r="H827" s="95"/>
      <c r="I827" s="95"/>
      <c r="J827" s="95"/>
      <c r="K827" s="95"/>
      <c r="L827" s="95"/>
      <c r="M827" s="95"/>
      <c r="N827" s="95"/>
      <c r="O827" s="95"/>
      <c r="P827" s="95"/>
    </row>
    <row r="828" spans="1:16" s="81" customFormat="1" ht="25.5" x14ac:dyDescent="0.25">
      <c r="A828" s="110"/>
      <c r="B828" s="95"/>
      <c r="C828" s="95"/>
      <c r="D828" s="76" t="s">
        <v>917</v>
      </c>
      <c r="E828" s="76" t="s">
        <v>54</v>
      </c>
      <c r="F828" s="95"/>
      <c r="G828" s="96">
        <v>-4.8440000000000003</v>
      </c>
      <c r="H828" s="95"/>
      <c r="I828" s="95"/>
      <c r="J828" s="95"/>
      <c r="K828" s="95"/>
      <c r="L828" s="95"/>
      <c r="M828" s="95"/>
      <c r="N828" s="95"/>
      <c r="O828" s="95"/>
      <c r="P828" s="95"/>
    </row>
    <row r="829" spans="1:16" s="81" customFormat="1" x14ac:dyDescent="0.25">
      <c r="A829" s="110"/>
      <c r="B829" s="95"/>
      <c r="C829" s="95"/>
      <c r="D829" s="76" t="s">
        <v>918</v>
      </c>
      <c r="E829" s="76" t="s">
        <v>54</v>
      </c>
      <c r="F829" s="95"/>
      <c r="G829" s="96">
        <v>53.65</v>
      </c>
      <c r="H829" s="95"/>
      <c r="I829" s="95"/>
      <c r="J829" s="95"/>
      <c r="K829" s="95"/>
      <c r="L829" s="95"/>
      <c r="M829" s="95"/>
      <c r="N829" s="95"/>
      <c r="O829" s="95"/>
      <c r="P829" s="95"/>
    </row>
    <row r="830" spans="1:16" s="81" customFormat="1" ht="25.5" x14ac:dyDescent="0.25">
      <c r="A830" s="110"/>
      <c r="B830" s="95"/>
      <c r="C830" s="95"/>
      <c r="D830" s="76" t="s">
        <v>919</v>
      </c>
      <c r="E830" s="76" t="s">
        <v>54</v>
      </c>
      <c r="F830" s="95"/>
      <c r="G830" s="96">
        <v>71.425349999999995</v>
      </c>
      <c r="H830" s="95"/>
      <c r="I830" s="95"/>
      <c r="J830" s="95"/>
      <c r="K830" s="95"/>
      <c r="L830" s="95"/>
      <c r="M830" s="95"/>
      <c r="N830" s="95"/>
      <c r="O830" s="95"/>
      <c r="P830" s="95"/>
    </row>
    <row r="831" spans="1:16" s="81" customFormat="1" x14ac:dyDescent="0.25">
      <c r="A831" s="110"/>
      <c r="B831" s="95"/>
      <c r="C831" s="95"/>
      <c r="D831" s="76" t="s">
        <v>54</v>
      </c>
      <c r="E831" s="76" t="s">
        <v>930</v>
      </c>
      <c r="F831" s="95"/>
      <c r="G831" s="96">
        <v>0</v>
      </c>
      <c r="H831" s="95"/>
      <c r="I831" s="95"/>
      <c r="J831" s="95"/>
      <c r="K831" s="95"/>
      <c r="L831" s="95"/>
      <c r="M831" s="95"/>
      <c r="N831" s="95"/>
      <c r="O831" s="95"/>
      <c r="P831" s="95"/>
    </row>
    <row r="832" spans="1:16" s="81" customFormat="1" ht="25.5" x14ac:dyDescent="0.25">
      <c r="A832" s="110"/>
      <c r="B832" s="95"/>
      <c r="C832" s="95"/>
      <c r="D832" s="76" t="s">
        <v>921</v>
      </c>
      <c r="E832" s="76" t="s">
        <v>54</v>
      </c>
      <c r="F832" s="95"/>
      <c r="G832" s="96">
        <v>137.48378</v>
      </c>
      <c r="H832" s="95"/>
      <c r="I832" s="95"/>
      <c r="J832" s="95"/>
      <c r="K832" s="95"/>
      <c r="L832" s="95"/>
      <c r="M832" s="95"/>
      <c r="N832" s="95"/>
      <c r="O832" s="95"/>
      <c r="P832" s="95"/>
    </row>
    <row r="833" spans="1:76" s="81" customFormat="1" ht="38.25" x14ac:dyDescent="0.25">
      <c r="A833" s="110"/>
      <c r="B833" s="95"/>
      <c r="C833" s="95"/>
      <c r="D833" s="76" t="s">
        <v>920</v>
      </c>
      <c r="E833" s="76" t="s">
        <v>54</v>
      </c>
      <c r="F833" s="95"/>
      <c r="G833" s="96">
        <v>-33.303150000000002</v>
      </c>
      <c r="H833" s="95"/>
      <c r="I833" s="95"/>
      <c r="J833" s="95"/>
      <c r="K833" s="95"/>
      <c r="L833" s="95"/>
      <c r="M833" s="95"/>
      <c r="N833" s="95"/>
      <c r="O833" s="95"/>
      <c r="P833" s="95"/>
    </row>
    <row r="834" spans="1:76" s="81" customFormat="1" x14ac:dyDescent="0.25">
      <c r="A834" s="110"/>
      <c r="B834" s="95"/>
      <c r="C834" s="95"/>
      <c r="D834" s="76" t="s">
        <v>932</v>
      </c>
      <c r="E834" s="76" t="s">
        <v>54</v>
      </c>
      <c r="F834" s="95"/>
      <c r="G834" s="96">
        <v>3.1724999999999999</v>
      </c>
      <c r="H834" s="95"/>
      <c r="I834" s="95"/>
      <c r="J834" s="95"/>
      <c r="K834" s="95"/>
      <c r="L834" s="95"/>
      <c r="M834" s="95"/>
      <c r="N834" s="95"/>
      <c r="O834" s="95"/>
      <c r="P834" s="95"/>
    </row>
    <row r="835" spans="1:76" s="81" customFormat="1" ht="25.5" x14ac:dyDescent="0.25">
      <c r="A835" s="110"/>
      <c r="B835" s="95"/>
      <c r="C835" s="95"/>
      <c r="D835" s="76" t="s">
        <v>922</v>
      </c>
      <c r="E835" s="76" t="s">
        <v>54</v>
      </c>
      <c r="F835" s="95"/>
      <c r="G835" s="96">
        <v>9.5145499999999998</v>
      </c>
      <c r="H835" s="95"/>
      <c r="I835" s="95"/>
      <c r="J835" s="95"/>
      <c r="K835" s="95"/>
      <c r="L835" s="95"/>
      <c r="M835" s="95"/>
      <c r="N835" s="95"/>
      <c r="O835" s="95"/>
      <c r="P835" s="95"/>
    </row>
    <row r="836" spans="1:76" s="81" customFormat="1" ht="38.25" x14ac:dyDescent="0.25">
      <c r="A836" s="110"/>
      <c r="B836" s="95"/>
      <c r="C836" s="95"/>
      <c r="D836" s="76" t="s">
        <v>923</v>
      </c>
      <c r="E836" s="76" t="s">
        <v>54</v>
      </c>
      <c r="F836" s="95"/>
      <c r="G836" s="96">
        <v>55.489870000000003</v>
      </c>
      <c r="H836" s="95"/>
      <c r="I836" s="95"/>
      <c r="J836" s="95"/>
      <c r="K836" s="95"/>
      <c r="L836" s="95"/>
      <c r="M836" s="95"/>
      <c r="N836" s="95"/>
      <c r="O836" s="95"/>
      <c r="P836" s="95"/>
    </row>
    <row r="837" spans="1:76" s="81" customFormat="1" ht="25.5" x14ac:dyDescent="0.25">
      <c r="A837" s="110"/>
      <c r="B837" s="95"/>
      <c r="C837" s="95"/>
      <c r="D837" s="76" t="s">
        <v>924</v>
      </c>
      <c r="E837" s="76" t="s">
        <v>54</v>
      </c>
      <c r="F837" s="95"/>
      <c r="G837" s="96">
        <v>7.7940500000000004</v>
      </c>
      <c r="H837" s="95"/>
      <c r="I837" s="95"/>
      <c r="J837" s="95"/>
      <c r="K837" s="95"/>
      <c r="L837" s="95"/>
      <c r="M837" s="95"/>
      <c r="N837" s="95"/>
      <c r="O837" s="95"/>
      <c r="P837" s="95"/>
    </row>
    <row r="838" spans="1:76" s="81" customFormat="1" ht="25.5" x14ac:dyDescent="0.25">
      <c r="A838" s="110"/>
      <c r="B838" s="95"/>
      <c r="C838" s="95"/>
      <c r="D838" s="76" t="s">
        <v>925</v>
      </c>
      <c r="E838" s="76" t="s">
        <v>54</v>
      </c>
      <c r="F838" s="95"/>
      <c r="G838" s="96">
        <v>101.79</v>
      </c>
      <c r="H838" s="95"/>
      <c r="I838" s="95"/>
      <c r="J838" s="95"/>
      <c r="K838" s="95"/>
      <c r="L838" s="95"/>
      <c r="M838" s="95"/>
      <c r="N838" s="95"/>
      <c r="O838" s="95"/>
      <c r="P838" s="95"/>
    </row>
    <row r="839" spans="1:76" s="81" customFormat="1" ht="38.25" x14ac:dyDescent="0.25">
      <c r="A839" s="110"/>
      <c r="B839" s="95"/>
      <c r="C839" s="95"/>
      <c r="D839" s="76" t="s">
        <v>926</v>
      </c>
      <c r="E839" s="76" t="s">
        <v>54</v>
      </c>
      <c r="F839" s="95"/>
      <c r="G839" s="96">
        <v>-19.7121</v>
      </c>
      <c r="H839" s="95"/>
      <c r="I839" s="95"/>
      <c r="J839" s="95"/>
      <c r="K839" s="95"/>
      <c r="L839" s="95"/>
      <c r="M839" s="95"/>
      <c r="N839" s="95"/>
      <c r="O839" s="95"/>
      <c r="P839" s="95"/>
    </row>
    <row r="840" spans="1:76" s="81" customFormat="1" ht="25.5" x14ac:dyDescent="0.25">
      <c r="A840" s="110"/>
      <c r="B840" s="95"/>
      <c r="C840" s="95"/>
      <c r="D840" s="76" t="s">
        <v>927</v>
      </c>
      <c r="E840" s="76" t="s">
        <v>54</v>
      </c>
      <c r="F840" s="95"/>
      <c r="G840" s="96">
        <v>4.6675500000000003</v>
      </c>
      <c r="H840" s="95"/>
      <c r="I840" s="95"/>
      <c r="J840" s="95"/>
      <c r="K840" s="95"/>
      <c r="L840" s="95"/>
      <c r="M840" s="95"/>
      <c r="N840" s="95"/>
      <c r="O840" s="95"/>
      <c r="P840" s="95"/>
    </row>
    <row r="841" spans="1:76" s="81" customFormat="1" x14ac:dyDescent="0.25">
      <c r="A841" s="110"/>
      <c r="B841" s="95"/>
      <c r="C841" s="95"/>
      <c r="D841" s="76" t="s">
        <v>928</v>
      </c>
      <c r="E841" s="76" t="s">
        <v>54</v>
      </c>
      <c r="F841" s="95"/>
      <c r="G841" s="96">
        <v>145.23224999999999</v>
      </c>
      <c r="H841" s="95"/>
      <c r="I841" s="95"/>
      <c r="J841" s="95"/>
      <c r="K841" s="95"/>
      <c r="L841" s="95"/>
      <c r="M841" s="95"/>
      <c r="N841" s="95"/>
      <c r="O841" s="95"/>
      <c r="P841" s="95"/>
    </row>
    <row r="842" spans="1:76" s="81" customFormat="1" ht="38.25" x14ac:dyDescent="0.25">
      <c r="A842" s="110"/>
      <c r="B842" s="95"/>
      <c r="C842" s="95"/>
      <c r="D842" s="76" t="s">
        <v>929</v>
      </c>
      <c r="E842" s="76" t="s">
        <v>54</v>
      </c>
      <c r="F842" s="95"/>
      <c r="G842" s="96">
        <v>-20.523599999999998</v>
      </c>
      <c r="H842" s="95"/>
      <c r="I842" s="95"/>
      <c r="J842" s="95"/>
      <c r="K842" s="95"/>
      <c r="L842" s="95"/>
      <c r="M842" s="95"/>
      <c r="N842" s="95"/>
      <c r="O842" s="95"/>
      <c r="P842" s="95"/>
    </row>
    <row r="843" spans="1:76" s="81" customFormat="1" x14ac:dyDescent="0.25">
      <c r="A843" s="110"/>
      <c r="B843" s="95"/>
      <c r="C843" s="95"/>
      <c r="D843" s="76" t="s">
        <v>942</v>
      </c>
      <c r="E843" s="76" t="s">
        <v>943</v>
      </c>
      <c r="F843" s="95"/>
      <c r="G843" s="96">
        <v>-292.05124999999998</v>
      </c>
      <c r="H843" s="95"/>
      <c r="I843" s="95"/>
      <c r="J843" s="95"/>
      <c r="K843" s="95"/>
      <c r="L843" s="95"/>
      <c r="M843" s="95"/>
      <c r="N843" s="95"/>
      <c r="O843" s="95"/>
      <c r="P843" s="95"/>
    </row>
    <row r="844" spans="1:76" s="81" customFormat="1" x14ac:dyDescent="0.25">
      <c r="A844" s="66" t="s">
        <v>944</v>
      </c>
      <c r="B844" s="72" t="s">
        <v>55</v>
      </c>
      <c r="C844" s="72" t="s">
        <v>945</v>
      </c>
      <c r="D844" s="174" t="s">
        <v>946</v>
      </c>
      <c r="E844" s="174"/>
      <c r="F844" s="72" t="s">
        <v>192</v>
      </c>
      <c r="G844" s="90">
        <v>317.65463</v>
      </c>
      <c r="H844" s="91"/>
      <c r="I844" s="92" t="s">
        <v>63</v>
      </c>
      <c r="J844" s="90">
        <f>G844*AO844</f>
        <v>0</v>
      </c>
      <c r="K844" s="90">
        <f>G844*AP844</f>
        <v>0</v>
      </c>
      <c r="L844" s="90">
        <f>G844*H844</f>
        <v>0</v>
      </c>
      <c r="M844" s="90">
        <f>L844*(1+BW844/100)</f>
        <v>0</v>
      </c>
      <c r="N844" s="90">
        <v>2.63E-3</v>
      </c>
      <c r="O844" s="90">
        <f>G844*N844</f>
        <v>0.83543167689999998</v>
      </c>
      <c r="P844" s="92" t="s">
        <v>64</v>
      </c>
      <c r="Z844" s="93">
        <f>IF(AQ844="5",BJ844,0)</f>
        <v>0</v>
      </c>
      <c r="AB844" s="93">
        <f>IF(AQ844="1",BH844,0)</f>
        <v>0</v>
      </c>
      <c r="AC844" s="93">
        <f>IF(AQ844="1",BI844,0)</f>
        <v>0</v>
      </c>
      <c r="AD844" s="93">
        <f>IF(AQ844="7",BH844,0)</f>
        <v>0</v>
      </c>
      <c r="AE844" s="93">
        <f>IF(AQ844="7",BI844,0)</f>
        <v>0</v>
      </c>
      <c r="AF844" s="93">
        <f>IF(AQ844="2",BH844,0)</f>
        <v>0</v>
      </c>
      <c r="AG844" s="93">
        <f>IF(AQ844="2",BI844,0)</f>
        <v>0</v>
      </c>
      <c r="AH844" s="93">
        <f>IF(AQ844="0",BJ844,0)</f>
        <v>0</v>
      </c>
      <c r="AI844" s="88" t="s">
        <v>55</v>
      </c>
      <c r="AJ844" s="93">
        <f>IF(AN844=0,L844,0)</f>
        <v>0</v>
      </c>
      <c r="AK844" s="93">
        <f>IF(AN844=12,L844,0)</f>
        <v>0</v>
      </c>
      <c r="AL844" s="93">
        <f>IF(AN844=21,L844,0)</f>
        <v>0</v>
      </c>
      <c r="AN844" s="93">
        <v>21</v>
      </c>
      <c r="AO844" s="93">
        <f>H844*0.666381224</f>
        <v>0</v>
      </c>
      <c r="AP844" s="93">
        <f>H844*(1-0.666381224)</f>
        <v>0</v>
      </c>
      <c r="AQ844" s="94" t="s">
        <v>59</v>
      </c>
      <c r="AV844" s="93">
        <f>AW844+AX844</f>
        <v>0</v>
      </c>
      <c r="AW844" s="93">
        <f>G844*AO844</f>
        <v>0</v>
      </c>
      <c r="AX844" s="93">
        <f>G844*AP844</f>
        <v>0</v>
      </c>
      <c r="AY844" s="94" t="s">
        <v>870</v>
      </c>
      <c r="AZ844" s="94" t="s">
        <v>871</v>
      </c>
      <c r="BA844" s="88" t="s">
        <v>67</v>
      </c>
      <c r="BC844" s="93">
        <f>AW844+AX844</f>
        <v>0</v>
      </c>
      <c r="BD844" s="93">
        <f>H844/(100-BE844)*100</f>
        <v>0</v>
      </c>
      <c r="BE844" s="93">
        <v>0</v>
      </c>
      <c r="BF844" s="93">
        <f>O844</f>
        <v>0.83543167689999998</v>
      </c>
      <c r="BH844" s="93">
        <f>G844*AO844</f>
        <v>0</v>
      </c>
      <c r="BI844" s="93">
        <f>G844*AP844</f>
        <v>0</v>
      </c>
      <c r="BJ844" s="93">
        <f>G844*H844</f>
        <v>0</v>
      </c>
      <c r="BK844" s="93"/>
      <c r="BL844" s="93">
        <v>60</v>
      </c>
      <c r="BW844" s="93" t="str">
        <f>I844</f>
        <v>21</v>
      </c>
      <c r="BX844" s="2" t="s">
        <v>946</v>
      </c>
    </row>
    <row r="845" spans="1:76" s="81" customFormat="1" ht="13.5" customHeight="1" x14ac:dyDescent="0.25">
      <c r="A845" s="110"/>
      <c r="B845" s="95"/>
      <c r="C845" s="95"/>
      <c r="D845" s="179" t="s">
        <v>947</v>
      </c>
      <c r="E845" s="179"/>
      <c r="F845" s="179"/>
      <c r="G845" s="179"/>
      <c r="H845" s="179"/>
      <c r="I845" s="179"/>
      <c r="J845" s="179"/>
      <c r="K845" s="179"/>
      <c r="L845" s="179"/>
      <c r="M845" s="179"/>
      <c r="N845" s="179"/>
      <c r="O845" s="179"/>
      <c r="P845" s="179"/>
    </row>
    <row r="846" spans="1:76" s="81" customFormat="1" x14ac:dyDescent="0.25">
      <c r="A846" s="110"/>
      <c r="B846" s="95"/>
      <c r="C846" s="95"/>
      <c r="D846" s="76" t="s">
        <v>54</v>
      </c>
      <c r="E846" s="76" t="s">
        <v>948</v>
      </c>
      <c r="F846" s="95"/>
      <c r="G846" s="96">
        <v>0</v>
      </c>
      <c r="H846" s="95"/>
      <c r="I846" s="95"/>
      <c r="J846" s="95"/>
      <c r="K846" s="95"/>
      <c r="L846" s="95"/>
      <c r="M846" s="95"/>
      <c r="N846" s="95"/>
      <c r="O846" s="95"/>
      <c r="P846" s="95"/>
    </row>
    <row r="847" spans="1:76" s="81" customFormat="1" x14ac:dyDescent="0.25">
      <c r="A847" s="110"/>
      <c r="B847" s="95"/>
      <c r="C847" s="95"/>
      <c r="D847" s="76" t="s">
        <v>54</v>
      </c>
      <c r="E847" s="76" t="s">
        <v>949</v>
      </c>
      <c r="F847" s="95"/>
      <c r="G847" s="96">
        <v>0</v>
      </c>
      <c r="H847" s="95"/>
      <c r="I847" s="95"/>
      <c r="J847" s="95"/>
      <c r="K847" s="95"/>
      <c r="L847" s="95"/>
      <c r="M847" s="95"/>
      <c r="N847" s="95"/>
      <c r="O847" s="95"/>
      <c r="P847" s="95"/>
    </row>
    <row r="848" spans="1:76" s="81" customFormat="1" x14ac:dyDescent="0.25">
      <c r="A848" s="110"/>
      <c r="B848" s="95"/>
      <c r="C848" s="95"/>
      <c r="D848" s="76" t="s">
        <v>950</v>
      </c>
      <c r="E848" s="76" t="s">
        <v>54</v>
      </c>
      <c r="F848" s="95"/>
      <c r="G848" s="96">
        <v>38.902630000000002</v>
      </c>
      <c r="H848" s="95"/>
      <c r="I848" s="95"/>
      <c r="J848" s="95"/>
      <c r="K848" s="95"/>
      <c r="L848" s="95"/>
      <c r="M848" s="95"/>
      <c r="N848" s="95"/>
      <c r="O848" s="95"/>
      <c r="P848" s="95"/>
    </row>
    <row r="849" spans="1:76" s="81" customFormat="1" x14ac:dyDescent="0.25">
      <c r="A849" s="110"/>
      <c r="B849" s="95"/>
      <c r="C849" s="95"/>
      <c r="D849" s="76" t="s">
        <v>951</v>
      </c>
      <c r="E849" s="76" t="s">
        <v>54</v>
      </c>
      <c r="F849" s="95"/>
      <c r="G849" s="96">
        <v>4.8528599999999997</v>
      </c>
      <c r="H849" s="95"/>
      <c r="I849" s="95"/>
      <c r="J849" s="95"/>
      <c r="K849" s="95"/>
      <c r="L849" s="95"/>
      <c r="M849" s="95"/>
      <c r="N849" s="95"/>
      <c r="O849" s="95"/>
      <c r="P849" s="95"/>
    </row>
    <row r="850" spans="1:76" s="81" customFormat="1" x14ac:dyDescent="0.25">
      <c r="A850" s="110"/>
      <c r="B850" s="95"/>
      <c r="C850" s="95"/>
      <c r="D850" s="76" t="s">
        <v>952</v>
      </c>
      <c r="E850" s="76" t="s">
        <v>54</v>
      </c>
      <c r="F850" s="95"/>
      <c r="G850" s="96">
        <v>39.750549999999997</v>
      </c>
      <c r="H850" s="95"/>
      <c r="I850" s="95"/>
      <c r="J850" s="95"/>
      <c r="K850" s="95"/>
      <c r="L850" s="95"/>
      <c r="M850" s="95"/>
      <c r="N850" s="95"/>
      <c r="O850" s="95"/>
      <c r="P850" s="95"/>
    </row>
    <row r="851" spans="1:76" s="81" customFormat="1" x14ac:dyDescent="0.25">
      <c r="A851" s="110"/>
      <c r="B851" s="95"/>
      <c r="C851" s="95"/>
      <c r="D851" s="76" t="s">
        <v>953</v>
      </c>
      <c r="E851" s="76" t="s">
        <v>54</v>
      </c>
      <c r="F851" s="95"/>
      <c r="G851" s="96">
        <v>5.8507699999999998</v>
      </c>
      <c r="H851" s="95"/>
      <c r="I851" s="95"/>
      <c r="J851" s="95"/>
      <c r="K851" s="95"/>
      <c r="L851" s="95"/>
      <c r="M851" s="95"/>
      <c r="N851" s="95"/>
      <c r="O851" s="95"/>
      <c r="P851" s="95"/>
    </row>
    <row r="852" spans="1:76" s="81" customFormat="1" x14ac:dyDescent="0.25">
      <c r="A852" s="110"/>
      <c r="B852" s="95"/>
      <c r="C852" s="95"/>
      <c r="D852" s="76" t="s">
        <v>954</v>
      </c>
      <c r="E852" s="76" t="s">
        <v>54</v>
      </c>
      <c r="F852" s="95"/>
      <c r="G852" s="96">
        <v>3.0399500000000002</v>
      </c>
      <c r="H852" s="95"/>
      <c r="I852" s="95"/>
      <c r="J852" s="95"/>
      <c r="K852" s="95"/>
      <c r="L852" s="95"/>
      <c r="M852" s="95"/>
      <c r="N852" s="95"/>
      <c r="O852" s="95"/>
      <c r="P852" s="95"/>
    </row>
    <row r="853" spans="1:76" s="81" customFormat="1" x14ac:dyDescent="0.25">
      <c r="A853" s="110"/>
      <c r="B853" s="95"/>
      <c r="C853" s="95"/>
      <c r="D853" s="76" t="s">
        <v>955</v>
      </c>
      <c r="E853" s="76" t="s">
        <v>54</v>
      </c>
      <c r="F853" s="95"/>
      <c r="G853" s="96">
        <v>62.08</v>
      </c>
      <c r="H853" s="95"/>
      <c r="I853" s="95"/>
      <c r="J853" s="95"/>
      <c r="K853" s="95"/>
      <c r="L853" s="95"/>
      <c r="M853" s="95"/>
      <c r="N853" s="95"/>
      <c r="O853" s="95"/>
      <c r="P853" s="95"/>
    </row>
    <row r="854" spans="1:76" s="81" customFormat="1" x14ac:dyDescent="0.25">
      <c r="A854" s="110"/>
      <c r="B854" s="95"/>
      <c r="C854" s="95"/>
      <c r="D854" s="76" t="s">
        <v>956</v>
      </c>
      <c r="E854" s="76" t="s">
        <v>54</v>
      </c>
      <c r="F854" s="95"/>
      <c r="G854" s="96">
        <v>11.577500000000001</v>
      </c>
      <c r="H854" s="95"/>
      <c r="I854" s="95"/>
      <c r="J854" s="95"/>
      <c r="K854" s="95"/>
      <c r="L854" s="95"/>
      <c r="M854" s="95"/>
      <c r="N854" s="95"/>
      <c r="O854" s="95"/>
      <c r="P854" s="95"/>
    </row>
    <row r="855" spans="1:76" s="81" customFormat="1" x14ac:dyDescent="0.25">
      <c r="A855" s="110"/>
      <c r="B855" s="95"/>
      <c r="C855" s="95"/>
      <c r="D855" s="76" t="s">
        <v>957</v>
      </c>
      <c r="E855" s="76" t="s">
        <v>54</v>
      </c>
      <c r="F855" s="95"/>
      <c r="G855" s="96">
        <v>11.53505</v>
      </c>
      <c r="H855" s="95"/>
      <c r="I855" s="95"/>
      <c r="J855" s="95"/>
      <c r="K855" s="95"/>
      <c r="L855" s="95"/>
      <c r="M855" s="95"/>
      <c r="N855" s="95"/>
      <c r="O855" s="95"/>
      <c r="P855" s="95"/>
    </row>
    <row r="856" spans="1:76" s="81" customFormat="1" x14ac:dyDescent="0.25">
      <c r="A856" s="110"/>
      <c r="B856" s="95"/>
      <c r="C856" s="95"/>
      <c r="D856" s="76" t="s">
        <v>958</v>
      </c>
      <c r="E856" s="76" t="s">
        <v>54</v>
      </c>
      <c r="F856" s="95"/>
      <c r="G856" s="96">
        <v>72.38</v>
      </c>
      <c r="H856" s="95"/>
      <c r="I856" s="95"/>
      <c r="J856" s="95"/>
      <c r="K856" s="95"/>
      <c r="L856" s="95"/>
      <c r="M856" s="95"/>
      <c r="N856" s="95"/>
      <c r="O856" s="95"/>
      <c r="P856" s="95"/>
    </row>
    <row r="857" spans="1:76" s="81" customFormat="1" x14ac:dyDescent="0.25">
      <c r="A857" s="110"/>
      <c r="B857" s="95"/>
      <c r="C857" s="95"/>
      <c r="D857" s="76" t="s">
        <v>959</v>
      </c>
      <c r="E857" s="76" t="s">
        <v>54</v>
      </c>
      <c r="F857" s="95"/>
      <c r="G857" s="96">
        <v>56.271970000000003</v>
      </c>
      <c r="H857" s="95"/>
      <c r="I857" s="95"/>
      <c r="J857" s="95"/>
      <c r="K857" s="95"/>
      <c r="L857" s="95"/>
      <c r="M857" s="95"/>
      <c r="N857" s="95"/>
      <c r="O857" s="95"/>
      <c r="P857" s="95"/>
    </row>
    <row r="858" spans="1:76" s="81" customFormat="1" x14ac:dyDescent="0.25">
      <c r="A858" s="110"/>
      <c r="B858" s="95"/>
      <c r="C858" s="95"/>
      <c r="D858" s="76" t="s">
        <v>960</v>
      </c>
      <c r="E858" s="76" t="s">
        <v>54</v>
      </c>
      <c r="F858" s="95"/>
      <c r="G858" s="96">
        <v>11.413349999999999</v>
      </c>
      <c r="H858" s="95"/>
      <c r="I858" s="95"/>
      <c r="J858" s="95"/>
      <c r="K858" s="95"/>
      <c r="L858" s="95"/>
      <c r="M858" s="95"/>
      <c r="N858" s="95"/>
      <c r="O858" s="95"/>
      <c r="P858" s="95"/>
    </row>
    <row r="859" spans="1:76" s="81" customFormat="1" x14ac:dyDescent="0.25">
      <c r="A859" s="66" t="s">
        <v>961</v>
      </c>
      <c r="B859" s="72" t="s">
        <v>55</v>
      </c>
      <c r="C859" s="72" t="s">
        <v>962</v>
      </c>
      <c r="D859" s="174" t="s">
        <v>963</v>
      </c>
      <c r="E859" s="174"/>
      <c r="F859" s="72" t="s">
        <v>192</v>
      </c>
      <c r="G859" s="90">
        <v>317.65463</v>
      </c>
      <c r="H859" s="91"/>
      <c r="I859" s="92" t="s">
        <v>63</v>
      </c>
      <c r="J859" s="90">
        <f>G859*AO859</f>
        <v>0</v>
      </c>
      <c r="K859" s="90">
        <f>G859*AP859</f>
        <v>0</v>
      </c>
      <c r="L859" s="90">
        <f>G859*H859</f>
        <v>0</v>
      </c>
      <c r="M859" s="90">
        <f>L859*(1+BW859/100)</f>
        <v>0</v>
      </c>
      <c r="N859" s="90">
        <v>3.6999999999999999E-4</v>
      </c>
      <c r="O859" s="90">
        <f>G859*N859</f>
        <v>0.11753221309999999</v>
      </c>
      <c r="P859" s="92" t="s">
        <v>64</v>
      </c>
      <c r="Z859" s="93">
        <f>IF(AQ859="5",BJ859,0)</f>
        <v>0</v>
      </c>
      <c r="AB859" s="93">
        <f>IF(AQ859="1",BH859,0)</f>
        <v>0</v>
      </c>
      <c r="AC859" s="93">
        <f>IF(AQ859="1",BI859,0)</f>
        <v>0</v>
      </c>
      <c r="AD859" s="93">
        <f>IF(AQ859="7",BH859,0)</f>
        <v>0</v>
      </c>
      <c r="AE859" s="93">
        <f>IF(AQ859="7",BI859,0)</f>
        <v>0</v>
      </c>
      <c r="AF859" s="93">
        <f>IF(AQ859="2",BH859,0)</f>
        <v>0</v>
      </c>
      <c r="AG859" s="93">
        <f>IF(AQ859="2",BI859,0)</f>
        <v>0</v>
      </c>
      <c r="AH859" s="93">
        <f>IF(AQ859="0",BJ859,0)</f>
        <v>0</v>
      </c>
      <c r="AI859" s="88" t="s">
        <v>55</v>
      </c>
      <c r="AJ859" s="93">
        <f>IF(AN859=0,L859,0)</f>
        <v>0</v>
      </c>
      <c r="AK859" s="93">
        <f>IF(AN859=12,L859,0)</f>
        <v>0</v>
      </c>
      <c r="AL859" s="93">
        <f>IF(AN859=21,L859,0)</f>
        <v>0</v>
      </c>
      <c r="AN859" s="93">
        <v>21</v>
      </c>
      <c r="AO859" s="93">
        <f>H859*0.755181462</f>
        <v>0</v>
      </c>
      <c r="AP859" s="93">
        <f>H859*(1-0.755181462)</f>
        <v>0</v>
      </c>
      <c r="AQ859" s="94" t="s">
        <v>59</v>
      </c>
      <c r="AV859" s="93">
        <f>AW859+AX859</f>
        <v>0</v>
      </c>
      <c r="AW859" s="93">
        <f>G859*AO859</f>
        <v>0</v>
      </c>
      <c r="AX859" s="93">
        <f>G859*AP859</f>
        <v>0</v>
      </c>
      <c r="AY859" s="94" t="s">
        <v>870</v>
      </c>
      <c r="AZ859" s="94" t="s">
        <v>871</v>
      </c>
      <c r="BA859" s="88" t="s">
        <v>67</v>
      </c>
      <c r="BC859" s="93">
        <f>AW859+AX859</f>
        <v>0</v>
      </c>
      <c r="BD859" s="93">
        <f>H859/(100-BE859)*100</f>
        <v>0</v>
      </c>
      <c r="BE859" s="93">
        <v>0</v>
      </c>
      <c r="BF859" s="93">
        <f>O859</f>
        <v>0.11753221309999999</v>
      </c>
      <c r="BH859" s="93">
        <f>G859*AO859</f>
        <v>0</v>
      </c>
      <c r="BI859" s="93">
        <f>G859*AP859</f>
        <v>0</v>
      </c>
      <c r="BJ859" s="93">
        <f>G859*H859</f>
        <v>0</v>
      </c>
      <c r="BK859" s="93"/>
      <c r="BL859" s="93">
        <v>60</v>
      </c>
      <c r="BW859" s="93" t="str">
        <f>I859</f>
        <v>21</v>
      </c>
      <c r="BX859" s="2" t="s">
        <v>963</v>
      </c>
    </row>
    <row r="860" spans="1:76" s="81" customFormat="1" x14ac:dyDescent="0.25">
      <c r="A860" s="66" t="s">
        <v>964</v>
      </c>
      <c r="B860" s="72" t="s">
        <v>55</v>
      </c>
      <c r="C860" s="72" t="s">
        <v>965</v>
      </c>
      <c r="D860" s="174" t="s">
        <v>966</v>
      </c>
      <c r="E860" s="174"/>
      <c r="F860" s="72" t="s">
        <v>192</v>
      </c>
      <c r="G860" s="90">
        <v>317.65463</v>
      </c>
      <c r="H860" s="91"/>
      <c r="I860" s="92" t="s">
        <v>63</v>
      </c>
      <c r="J860" s="90">
        <f>G860*AO860</f>
        <v>0</v>
      </c>
      <c r="K860" s="90">
        <f>G860*AP860</f>
        <v>0</v>
      </c>
      <c r="L860" s="90">
        <f>G860*H860</f>
        <v>0</v>
      </c>
      <c r="M860" s="90">
        <f>L860*(1+BW860/100)</f>
        <v>0</v>
      </c>
      <c r="N860" s="90">
        <v>9.5600000000000008E-3</v>
      </c>
      <c r="O860" s="90">
        <f>G860*N860</f>
        <v>3.0367782628000004</v>
      </c>
      <c r="P860" s="92" t="s">
        <v>64</v>
      </c>
      <c r="Z860" s="93">
        <f>IF(AQ860="5",BJ860,0)</f>
        <v>0</v>
      </c>
      <c r="AB860" s="93">
        <f>IF(AQ860="1",BH860,0)</f>
        <v>0</v>
      </c>
      <c r="AC860" s="93">
        <f>IF(AQ860="1",BI860,0)</f>
        <v>0</v>
      </c>
      <c r="AD860" s="93">
        <f>IF(AQ860="7",BH860,0)</f>
        <v>0</v>
      </c>
      <c r="AE860" s="93">
        <f>IF(AQ860="7",BI860,0)</f>
        <v>0</v>
      </c>
      <c r="AF860" s="93">
        <f>IF(AQ860="2",BH860,0)</f>
        <v>0</v>
      </c>
      <c r="AG860" s="93">
        <f>IF(AQ860="2",BI860,0)</f>
        <v>0</v>
      </c>
      <c r="AH860" s="93">
        <f>IF(AQ860="0",BJ860,0)</f>
        <v>0</v>
      </c>
      <c r="AI860" s="88" t="s">
        <v>55</v>
      </c>
      <c r="AJ860" s="93">
        <f>IF(AN860=0,L860,0)</f>
        <v>0</v>
      </c>
      <c r="AK860" s="93">
        <f>IF(AN860=12,L860,0)</f>
        <v>0</v>
      </c>
      <c r="AL860" s="93">
        <f>IF(AN860=21,L860,0)</f>
        <v>0</v>
      </c>
      <c r="AN860" s="93">
        <v>21</v>
      </c>
      <c r="AO860" s="93">
        <f>H860*0.558221354</f>
        <v>0</v>
      </c>
      <c r="AP860" s="93">
        <f>H860*(1-0.558221354)</f>
        <v>0</v>
      </c>
      <c r="AQ860" s="94" t="s">
        <v>59</v>
      </c>
      <c r="AV860" s="93">
        <f>AW860+AX860</f>
        <v>0</v>
      </c>
      <c r="AW860" s="93">
        <f>G860*AO860</f>
        <v>0</v>
      </c>
      <c r="AX860" s="93">
        <f>G860*AP860</f>
        <v>0</v>
      </c>
      <c r="AY860" s="94" t="s">
        <v>870</v>
      </c>
      <c r="AZ860" s="94" t="s">
        <v>871</v>
      </c>
      <c r="BA860" s="88" t="s">
        <v>67</v>
      </c>
      <c r="BC860" s="93">
        <f>AW860+AX860</f>
        <v>0</v>
      </c>
      <c r="BD860" s="93">
        <f>H860/(100-BE860)*100</f>
        <v>0</v>
      </c>
      <c r="BE860" s="93">
        <v>0</v>
      </c>
      <c r="BF860" s="93">
        <f>O860</f>
        <v>3.0367782628000004</v>
      </c>
      <c r="BH860" s="93">
        <f>G860*AO860</f>
        <v>0</v>
      </c>
      <c r="BI860" s="93">
        <f>G860*AP860</f>
        <v>0</v>
      </c>
      <c r="BJ860" s="93">
        <f>G860*H860</f>
        <v>0</v>
      </c>
      <c r="BK860" s="93"/>
      <c r="BL860" s="93">
        <v>60</v>
      </c>
      <c r="BW860" s="93" t="str">
        <f>I860</f>
        <v>21</v>
      </c>
      <c r="BX860" s="2" t="s">
        <v>966</v>
      </c>
    </row>
    <row r="861" spans="1:76" s="81" customFormat="1" x14ac:dyDescent="0.25">
      <c r="A861" s="109" t="s">
        <v>54</v>
      </c>
      <c r="B861" s="74" t="s">
        <v>55</v>
      </c>
      <c r="C861" s="74" t="s">
        <v>549</v>
      </c>
      <c r="D861" s="180" t="s">
        <v>967</v>
      </c>
      <c r="E861" s="180"/>
      <c r="F861" s="85" t="s">
        <v>4</v>
      </c>
      <c r="G861" s="85" t="s">
        <v>4</v>
      </c>
      <c r="H861" s="98"/>
      <c r="I861" s="85" t="s">
        <v>4</v>
      </c>
      <c r="J861" s="86">
        <f>SUM(J862:J993)</f>
        <v>0</v>
      </c>
      <c r="K861" s="86">
        <f>SUM(K862:K993)</f>
        <v>0</v>
      </c>
      <c r="L861" s="86">
        <f>SUM(L862:L993)</f>
        <v>0</v>
      </c>
      <c r="M861" s="86">
        <f>SUM(M862:M993)</f>
        <v>0</v>
      </c>
      <c r="N861" s="87" t="s">
        <v>54</v>
      </c>
      <c r="O861" s="86">
        <f>SUM(O862:O993)</f>
        <v>18.651409426799997</v>
      </c>
      <c r="P861" s="87" t="s">
        <v>54</v>
      </c>
      <c r="AI861" s="88" t="s">
        <v>55</v>
      </c>
      <c r="AS861" s="89">
        <f>SUM(AJ862:AJ993)</f>
        <v>0</v>
      </c>
      <c r="AT861" s="89">
        <f>SUM(AK862:AK993)</f>
        <v>0</v>
      </c>
      <c r="AU861" s="89">
        <f>SUM(AL862:AL993)</f>
        <v>0</v>
      </c>
    </row>
    <row r="862" spans="1:76" s="81" customFormat="1" x14ac:dyDescent="0.25">
      <c r="A862" s="66" t="s">
        <v>968</v>
      </c>
      <c r="B862" s="72" t="s">
        <v>55</v>
      </c>
      <c r="C862" s="72" t="s">
        <v>969</v>
      </c>
      <c r="D862" s="174" t="s">
        <v>970</v>
      </c>
      <c r="E862" s="174"/>
      <c r="F862" s="72" t="s">
        <v>192</v>
      </c>
      <c r="G862" s="90">
        <v>1.3612500000000001</v>
      </c>
      <c r="H862" s="91"/>
      <c r="I862" s="92" t="s">
        <v>63</v>
      </c>
      <c r="J862" s="90">
        <f>G862*AO862</f>
        <v>0</v>
      </c>
      <c r="K862" s="90">
        <f>G862*AP862</f>
        <v>0</v>
      </c>
      <c r="L862" s="90">
        <f>G862*H862</f>
        <v>0</v>
      </c>
      <c r="M862" s="90">
        <f>L862*(1+BW862/100)</f>
        <v>0</v>
      </c>
      <c r="N862" s="90">
        <v>2.0080000000000001E-2</v>
      </c>
      <c r="O862" s="90">
        <f>G862*N862</f>
        <v>2.7333900000000001E-2</v>
      </c>
      <c r="P862" s="92" t="s">
        <v>64</v>
      </c>
      <c r="Z862" s="93">
        <f>IF(AQ862="5",BJ862,0)</f>
        <v>0</v>
      </c>
      <c r="AB862" s="93">
        <f>IF(AQ862="1",BH862,0)</f>
        <v>0</v>
      </c>
      <c r="AC862" s="93">
        <f>IF(AQ862="1",BI862,0)</f>
        <v>0</v>
      </c>
      <c r="AD862" s="93">
        <f>IF(AQ862="7",BH862,0)</f>
        <v>0</v>
      </c>
      <c r="AE862" s="93">
        <f>IF(AQ862="7",BI862,0)</f>
        <v>0</v>
      </c>
      <c r="AF862" s="93">
        <f>IF(AQ862="2",BH862,0)</f>
        <v>0</v>
      </c>
      <c r="AG862" s="93">
        <f>IF(AQ862="2",BI862,0)</f>
        <v>0</v>
      </c>
      <c r="AH862" s="93">
        <f>IF(AQ862="0",BJ862,0)</f>
        <v>0</v>
      </c>
      <c r="AI862" s="88" t="s">
        <v>55</v>
      </c>
      <c r="AJ862" s="93">
        <f>IF(AN862=0,L862,0)</f>
        <v>0</v>
      </c>
      <c r="AK862" s="93">
        <f>IF(AN862=12,L862,0)</f>
        <v>0</v>
      </c>
      <c r="AL862" s="93">
        <f>IF(AN862=21,L862,0)</f>
        <v>0</v>
      </c>
      <c r="AN862" s="93">
        <v>21</v>
      </c>
      <c r="AO862" s="93">
        <f>H862*0.76072834</f>
        <v>0</v>
      </c>
      <c r="AP862" s="93">
        <f>H862*(1-0.76072834)</f>
        <v>0</v>
      </c>
      <c r="AQ862" s="94" t="s">
        <v>59</v>
      </c>
      <c r="AV862" s="93">
        <f>AW862+AX862</f>
        <v>0</v>
      </c>
      <c r="AW862" s="93">
        <f>G862*AO862</f>
        <v>0</v>
      </c>
      <c r="AX862" s="93">
        <f>G862*AP862</f>
        <v>0</v>
      </c>
      <c r="AY862" s="94" t="s">
        <v>971</v>
      </c>
      <c r="AZ862" s="94" t="s">
        <v>871</v>
      </c>
      <c r="BA862" s="88" t="s">
        <v>67</v>
      </c>
      <c r="BC862" s="93">
        <f>AW862+AX862</f>
        <v>0</v>
      </c>
      <c r="BD862" s="93">
        <f>H862/(100-BE862)*100</f>
        <v>0</v>
      </c>
      <c r="BE862" s="93">
        <v>0</v>
      </c>
      <c r="BF862" s="93">
        <f>O862</f>
        <v>2.7333900000000001E-2</v>
      </c>
      <c r="BH862" s="93">
        <f>G862*AO862</f>
        <v>0</v>
      </c>
      <c r="BI862" s="93">
        <f>G862*AP862</f>
        <v>0</v>
      </c>
      <c r="BJ862" s="93">
        <f>G862*H862</f>
        <v>0</v>
      </c>
      <c r="BK862" s="93"/>
      <c r="BL862" s="93">
        <v>62</v>
      </c>
      <c r="BW862" s="93" t="str">
        <f>I862</f>
        <v>21</v>
      </c>
      <c r="BX862" s="2" t="s">
        <v>970</v>
      </c>
    </row>
    <row r="863" spans="1:76" s="81" customFormat="1" ht="13.5" customHeight="1" x14ac:dyDescent="0.25">
      <c r="A863" s="110"/>
      <c r="B863" s="95"/>
      <c r="C863" s="95"/>
      <c r="D863" s="179" t="s">
        <v>972</v>
      </c>
      <c r="E863" s="179"/>
      <c r="F863" s="179"/>
      <c r="G863" s="179"/>
      <c r="H863" s="179"/>
      <c r="I863" s="179"/>
      <c r="J863" s="179"/>
      <c r="K863" s="179"/>
      <c r="L863" s="179"/>
      <c r="M863" s="179"/>
      <c r="N863" s="179"/>
      <c r="O863" s="179"/>
      <c r="P863" s="179"/>
    </row>
    <row r="864" spans="1:76" s="81" customFormat="1" x14ac:dyDescent="0.25">
      <c r="A864" s="110"/>
      <c r="B864" s="95"/>
      <c r="C864" s="95"/>
      <c r="D864" s="76" t="s">
        <v>54</v>
      </c>
      <c r="E864" s="76" t="s">
        <v>930</v>
      </c>
      <c r="F864" s="95"/>
      <c r="G864" s="96">
        <v>0</v>
      </c>
      <c r="H864" s="95"/>
      <c r="I864" s="95"/>
      <c r="J864" s="95"/>
      <c r="K864" s="95"/>
      <c r="L864" s="95"/>
      <c r="M864" s="95"/>
      <c r="N864" s="95"/>
      <c r="O864" s="95"/>
      <c r="P864" s="95"/>
    </row>
    <row r="865" spans="1:76" s="81" customFormat="1" x14ac:dyDescent="0.25">
      <c r="A865" s="110"/>
      <c r="B865" s="95"/>
      <c r="C865" s="95"/>
      <c r="D865" s="76" t="s">
        <v>54</v>
      </c>
      <c r="E865" s="76" t="s">
        <v>973</v>
      </c>
      <c r="F865" s="95"/>
      <c r="G865" s="96">
        <v>0</v>
      </c>
      <c r="H865" s="95"/>
      <c r="I865" s="95"/>
      <c r="J865" s="95"/>
      <c r="K865" s="95"/>
      <c r="L865" s="95"/>
      <c r="M865" s="95"/>
      <c r="N865" s="95"/>
      <c r="O865" s="95"/>
      <c r="P865" s="95"/>
    </row>
    <row r="866" spans="1:76" s="81" customFormat="1" x14ac:dyDescent="0.25">
      <c r="A866" s="110"/>
      <c r="B866" s="95"/>
      <c r="C866" s="95"/>
      <c r="D866" s="76" t="s">
        <v>974</v>
      </c>
      <c r="E866" s="76" t="s">
        <v>54</v>
      </c>
      <c r="F866" s="95"/>
      <c r="G866" s="96">
        <v>1.3612500000000001</v>
      </c>
      <c r="H866" s="95"/>
      <c r="I866" s="95"/>
      <c r="J866" s="95"/>
      <c r="K866" s="95"/>
      <c r="L866" s="95"/>
      <c r="M866" s="95"/>
      <c r="N866" s="95"/>
      <c r="O866" s="95"/>
      <c r="P866" s="95"/>
    </row>
    <row r="867" spans="1:76" s="81" customFormat="1" x14ac:dyDescent="0.25">
      <c r="A867" s="66" t="s">
        <v>975</v>
      </c>
      <c r="B867" s="72" t="s">
        <v>55</v>
      </c>
      <c r="C867" s="72" t="s">
        <v>976</v>
      </c>
      <c r="D867" s="174" t="s">
        <v>977</v>
      </c>
      <c r="E867" s="174"/>
      <c r="F867" s="72" t="s">
        <v>192</v>
      </c>
      <c r="G867" s="90">
        <v>3.9</v>
      </c>
      <c r="H867" s="91"/>
      <c r="I867" s="92" t="s">
        <v>63</v>
      </c>
      <c r="J867" s="90">
        <f>G867*AO867</f>
        <v>0</v>
      </c>
      <c r="K867" s="90">
        <f>G867*AP867</f>
        <v>0</v>
      </c>
      <c r="L867" s="90">
        <f>G867*H867</f>
        <v>0</v>
      </c>
      <c r="M867" s="90">
        <f>L867*(1+BW867/100)</f>
        <v>0</v>
      </c>
      <c r="N867" s="90">
        <v>3.6049999999999999E-2</v>
      </c>
      <c r="O867" s="90">
        <f>G867*N867</f>
        <v>0.140595</v>
      </c>
      <c r="P867" s="92" t="s">
        <v>64</v>
      </c>
      <c r="Z867" s="93">
        <f>IF(AQ867="5",BJ867,0)</f>
        <v>0</v>
      </c>
      <c r="AB867" s="93">
        <f>IF(AQ867="1",BH867,0)</f>
        <v>0</v>
      </c>
      <c r="AC867" s="93">
        <f>IF(AQ867="1",BI867,0)</f>
        <v>0</v>
      </c>
      <c r="AD867" s="93">
        <f>IF(AQ867="7",BH867,0)</f>
        <v>0</v>
      </c>
      <c r="AE867" s="93">
        <f>IF(AQ867="7",BI867,0)</f>
        <v>0</v>
      </c>
      <c r="AF867" s="93">
        <f>IF(AQ867="2",BH867,0)</f>
        <v>0</v>
      </c>
      <c r="AG867" s="93">
        <f>IF(AQ867="2",BI867,0)</f>
        <v>0</v>
      </c>
      <c r="AH867" s="93">
        <f>IF(AQ867="0",BJ867,0)</f>
        <v>0</v>
      </c>
      <c r="AI867" s="88" t="s">
        <v>55</v>
      </c>
      <c r="AJ867" s="93">
        <f>IF(AN867=0,L867,0)</f>
        <v>0</v>
      </c>
      <c r="AK867" s="93">
        <f>IF(AN867=12,L867,0)</f>
        <v>0</v>
      </c>
      <c r="AL867" s="93">
        <f>IF(AN867=21,L867,0)</f>
        <v>0</v>
      </c>
      <c r="AN867" s="93">
        <v>21</v>
      </c>
      <c r="AO867" s="93">
        <f>H867*0.73193993</f>
        <v>0</v>
      </c>
      <c r="AP867" s="93">
        <f>H867*(1-0.73193993)</f>
        <v>0</v>
      </c>
      <c r="AQ867" s="94" t="s">
        <v>59</v>
      </c>
      <c r="AV867" s="93">
        <f>AW867+AX867</f>
        <v>0</v>
      </c>
      <c r="AW867" s="93">
        <f>G867*AO867</f>
        <v>0</v>
      </c>
      <c r="AX867" s="93">
        <f>G867*AP867</f>
        <v>0</v>
      </c>
      <c r="AY867" s="94" t="s">
        <v>971</v>
      </c>
      <c r="AZ867" s="94" t="s">
        <v>871</v>
      </c>
      <c r="BA867" s="88" t="s">
        <v>67</v>
      </c>
      <c r="BC867" s="93">
        <f>AW867+AX867</f>
        <v>0</v>
      </c>
      <c r="BD867" s="93">
        <f>H867/(100-BE867)*100</f>
        <v>0</v>
      </c>
      <c r="BE867" s="93">
        <v>0</v>
      </c>
      <c r="BF867" s="93">
        <f>O867</f>
        <v>0.140595</v>
      </c>
      <c r="BH867" s="93">
        <f>G867*AO867</f>
        <v>0</v>
      </c>
      <c r="BI867" s="93">
        <f>G867*AP867</f>
        <v>0</v>
      </c>
      <c r="BJ867" s="93">
        <f>G867*H867</f>
        <v>0</v>
      </c>
      <c r="BK867" s="93"/>
      <c r="BL867" s="93">
        <v>62</v>
      </c>
      <c r="BW867" s="93" t="str">
        <f>I867</f>
        <v>21</v>
      </c>
      <c r="BX867" s="2" t="s">
        <v>977</v>
      </c>
    </row>
    <row r="868" spans="1:76" s="81" customFormat="1" ht="13.5" customHeight="1" x14ac:dyDescent="0.25">
      <c r="A868" s="110"/>
      <c r="B868" s="95"/>
      <c r="C868" s="95"/>
      <c r="D868" s="179" t="s">
        <v>972</v>
      </c>
      <c r="E868" s="179"/>
      <c r="F868" s="179"/>
      <c r="G868" s="179"/>
      <c r="H868" s="179"/>
      <c r="I868" s="179"/>
      <c r="J868" s="179"/>
      <c r="K868" s="179"/>
      <c r="L868" s="179"/>
      <c r="M868" s="179"/>
      <c r="N868" s="179"/>
      <c r="O868" s="179"/>
      <c r="P868" s="179"/>
    </row>
    <row r="869" spans="1:76" s="81" customFormat="1" x14ac:dyDescent="0.25">
      <c r="A869" s="110"/>
      <c r="B869" s="95"/>
      <c r="C869" s="95"/>
      <c r="D869" s="76" t="s">
        <v>54</v>
      </c>
      <c r="E869" s="76" t="s">
        <v>978</v>
      </c>
      <c r="F869" s="95"/>
      <c r="G869" s="96">
        <v>0</v>
      </c>
      <c r="H869" s="95"/>
      <c r="I869" s="95"/>
      <c r="J869" s="95"/>
      <c r="K869" s="95"/>
      <c r="L869" s="95"/>
      <c r="M869" s="95"/>
      <c r="N869" s="95"/>
      <c r="O869" s="95"/>
      <c r="P869" s="95"/>
    </row>
    <row r="870" spans="1:76" s="81" customFormat="1" x14ac:dyDescent="0.25">
      <c r="A870" s="110"/>
      <c r="B870" s="95"/>
      <c r="C870" s="95"/>
      <c r="D870" s="76" t="s">
        <v>979</v>
      </c>
      <c r="E870" s="76" t="s">
        <v>54</v>
      </c>
      <c r="F870" s="95"/>
      <c r="G870" s="96">
        <v>3.6</v>
      </c>
      <c r="H870" s="95"/>
      <c r="I870" s="95"/>
      <c r="J870" s="95"/>
      <c r="K870" s="95"/>
      <c r="L870" s="95"/>
      <c r="M870" s="95"/>
      <c r="N870" s="95"/>
      <c r="O870" s="95"/>
      <c r="P870" s="95"/>
    </row>
    <row r="871" spans="1:76" s="81" customFormat="1" x14ac:dyDescent="0.25">
      <c r="A871" s="110"/>
      <c r="B871" s="95"/>
      <c r="C871" s="95"/>
      <c r="D871" s="76" t="s">
        <v>54</v>
      </c>
      <c r="E871" s="76" t="s">
        <v>980</v>
      </c>
      <c r="F871" s="95"/>
      <c r="G871" s="96">
        <v>0</v>
      </c>
      <c r="H871" s="95"/>
      <c r="I871" s="95"/>
      <c r="J871" s="95"/>
      <c r="K871" s="95"/>
      <c r="L871" s="95"/>
      <c r="M871" s="95"/>
      <c r="N871" s="95"/>
      <c r="O871" s="95"/>
      <c r="P871" s="95"/>
    </row>
    <row r="872" spans="1:76" s="81" customFormat="1" x14ac:dyDescent="0.25">
      <c r="A872" s="110"/>
      <c r="B872" s="95"/>
      <c r="C872" s="95"/>
      <c r="D872" s="76" t="s">
        <v>981</v>
      </c>
      <c r="E872" s="76" t="s">
        <v>54</v>
      </c>
      <c r="F872" s="95"/>
      <c r="G872" s="96">
        <v>0.3</v>
      </c>
      <c r="H872" s="95"/>
      <c r="I872" s="95"/>
      <c r="J872" s="95"/>
      <c r="K872" s="95"/>
      <c r="L872" s="95"/>
      <c r="M872" s="95"/>
      <c r="N872" s="95"/>
      <c r="O872" s="95"/>
      <c r="P872" s="95"/>
    </row>
    <row r="873" spans="1:76" s="81" customFormat="1" x14ac:dyDescent="0.25">
      <c r="A873" s="66" t="s">
        <v>982</v>
      </c>
      <c r="B873" s="72" t="s">
        <v>55</v>
      </c>
      <c r="C873" s="72" t="s">
        <v>983</v>
      </c>
      <c r="D873" s="174" t="s">
        <v>984</v>
      </c>
      <c r="E873" s="174"/>
      <c r="F873" s="72" t="s">
        <v>192</v>
      </c>
      <c r="G873" s="90">
        <v>121.6105</v>
      </c>
      <c r="H873" s="91"/>
      <c r="I873" s="92" t="s">
        <v>63</v>
      </c>
      <c r="J873" s="90">
        <f>G873*AO873</f>
        <v>0</v>
      </c>
      <c r="K873" s="90">
        <f>G873*AP873</f>
        <v>0</v>
      </c>
      <c r="L873" s="90">
        <f>G873*H873</f>
        <v>0</v>
      </c>
      <c r="M873" s="90">
        <f>L873*(1+BW873/100)</f>
        <v>0</v>
      </c>
      <c r="N873" s="90">
        <v>0</v>
      </c>
      <c r="O873" s="90">
        <f>G873*N873</f>
        <v>0</v>
      </c>
      <c r="P873" s="92" t="s">
        <v>64</v>
      </c>
      <c r="Z873" s="93">
        <f>IF(AQ873="5",BJ873,0)</f>
        <v>0</v>
      </c>
      <c r="AB873" s="93">
        <f>IF(AQ873="1",BH873,0)</f>
        <v>0</v>
      </c>
      <c r="AC873" s="93">
        <f>IF(AQ873="1",BI873,0)</f>
        <v>0</v>
      </c>
      <c r="AD873" s="93">
        <f>IF(AQ873="7",BH873,0)</f>
        <v>0</v>
      </c>
      <c r="AE873" s="93">
        <f>IF(AQ873="7",BI873,0)</f>
        <v>0</v>
      </c>
      <c r="AF873" s="93">
        <f>IF(AQ873="2",BH873,0)</f>
        <v>0</v>
      </c>
      <c r="AG873" s="93">
        <f>IF(AQ873="2",BI873,0)</f>
        <v>0</v>
      </c>
      <c r="AH873" s="93">
        <f>IF(AQ873="0",BJ873,0)</f>
        <v>0</v>
      </c>
      <c r="AI873" s="88" t="s">
        <v>55</v>
      </c>
      <c r="AJ873" s="93">
        <f>IF(AN873=0,L873,0)</f>
        <v>0</v>
      </c>
      <c r="AK873" s="93">
        <f>IF(AN873=12,L873,0)</f>
        <v>0</v>
      </c>
      <c r="AL873" s="93">
        <f>IF(AN873=21,L873,0)</f>
        <v>0</v>
      </c>
      <c r="AN873" s="93">
        <v>21</v>
      </c>
      <c r="AO873" s="93">
        <f>H873*0</f>
        <v>0</v>
      </c>
      <c r="AP873" s="93">
        <f>H873*(1-0)</f>
        <v>0</v>
      </c>
      <c r="AQ873" s="94" t="s">
        <v>59</v>
      </c>
      <c r="AV873" s="93">
        <f>AW873+AX873</f>
        <v>0</v>
      </c>
      <c r="AW873" s="93">
        <f>G873*AO873</f>
        <v>0</v>
      </c>
      <c r="AX873" s="93">
        <f>G873*AP873</f>
        <v>0</v>
      </c>
      <c r="AY873" s="94" t="s">
        <v>971</v>
      </c>
      <c r="AZ873" s="94" t="s">
        <v>871</v>
      </c>
      <c r="BA873" s="88" t="s">
        <v>67</v>
      </c>
      <c r="BC873" s="93">
        <f>AW873+AX873</f>
        <v>0</v>
      </c>
      <c r="BD873" s="93">
        <f>H873/(100-BE873)*100</f>
        <v>0</v>
      </c>
      <c r="BE873" s="93">
        <v>0</v>
      </c>
      <c r="BF873" s="93">
        <f>O873</f>
        <v>0</v>
      </c>
      <c r="BH873" s="93">
        <f>G873*AO873</f>
        <v>0</v>
      </c>
      <c r="BI873" s="93">
        <f>G873*AP873</f>
        <v>0</v>
      </c>
      <c r="BJ873" s="93">
        <f>G873*H873</f>
        <v>0</v>
      </c>
      <c r="BK873" s="93"/>
      <c r="BL873" s="93">
        <v>62</v>
      </c>
      <c r="BW873" s="93" t="str">
        <f>I873</f>
        <v>21</v>
      </c>
      <c r="BX873" s="2" t="s">
        <v>984</v>
      </c>
    </row>
    <row r="874" spans="1:76" s="81" customFormat="1" x14ac:dyDescent="0.25">
      <c r="A874" s="110"/>
      <c r="B874" s="95"/>
      <c r="C874" s="95"/>
      <c r="D874" s="76" t="s">
        <v>54</v>
      </c>
      <c r="E874" s="76" t="s">
        <v>930</v>
      </c>
      <c r="F874" s="95"/>
      <c r="G874" s="96">
        <v>0</v>
      </c>
      <c r="H874" s="97"/>
      <c r="I874" s="95"/>
      <c r="J874" s="95"/>
      <c r="K874" s="95"/>
      <c r="L874" s="95"/>
      <c r="M874" s="95"/>
      <c r="N874" s="95"/>
      <c r="O874" s="95"/>
      <c r="P874" s="95"/>
    </row>
    <row r="875" spans="1:76" s="81" customFormat="1" x14ac:dyDescent="0.25">
      <c r="A875" s="110"/>
      <c r="B875" s="95"/>
      <c r="C875" s="95"/>
      <c r="D875" s="76" t="s">
        <v>54</v>
      </c>
      <c r="E875" s="76" t="s">
        <v>973</v>
      </c>
      <c r="F875" s="95"/>
      <c r="G875" s="96">
        <v>0</v>
      </c>
      <c r="H875" s="97"/>
      <c r="I875" s="95"/>
      <c r="J875" s="95"/>
      <c r="K875" s="95"/>
      <c r="L875" s="95"/>
      <c r="M875" s="95"/>
      <c r="N875" s="95"/>
      <c r="O875" s="95"/>
      <c r="P875" s="95"/>
    </row>
    <row r="876" spans="1:76" s="81" customFormat="1" x14ac:dyDescent="0.25">
      <c r="A876" s="110"/>
      <c r="B876" s="95"/>
      <c r="C876" s="95"/>
      <c r="D876" s="76" t="s">
        <v>985</v>
      </c>
      <c r="E876" s="76" t="s">
        <v>54</v>
      </c>
      <c r="F876" s="95"/>
      <c r="G876" s="96">
        <v>1.0125</v>
      </c>
      <c r="H876" s="97"/>
      <c r="I876" s="95"/>
      <c r="J876" s="95"/>
      <c r="K876" s="95"/>
      <c r="L876" s="95"/>
      <c r="M876" s="95"/>
      <c r="N876" s="95"/>
      <c r="O876" s="95"/>
      <c r="P876" s="95"/>
    </row>
    <row r="877" spans="1:76" s="81" customFormat="1" x14ac:dyDescent="0.25">
      <c r="A877" s="110"/>
      <c r="B877" s="95"/>
      <c r="C877" s="95"/>
      <c r="D877" s="76" t="s">
        <v>979</v>
      </c>
      <c r="E877" s="76" t="s">
        <v>978</v>
      </c>
      <c r="F877" s="95"/>
      <c r="G877" s="96">
        <v>3.6</v>
      </c>
      <c r="H877" s="97"/>
      <c r="I877" s="95"/>
      <c r="J877" s="95"/>
      <c r="K877" s="95"/>
      <c r="L877" s="95"/>
      <c r="M877" s="95"/>
      <c r="N877" s="95"/>
      <c r="O877" s="95"/>
      <c r="P877" s="95"/>
    </row>
    <row r="878" spans="1:76" s="81" customFormat="1" x14ac:dyDescent="0.25">
      <c r="A878" s="110"/>
      <c r="B878" s="95"/>
      <c r="C878" s="95"/>
      <c r="D878" s="76" t="s">
        <v>54</v>
      </c>
      <c r="E878" s="76" t="s">
        <v>980</v>
      </c>
      <c r="F878" s="95"/>
      <c r="G878" s="96">
        <v>0</v>
      </c>
      <c r="H878" s="97"/>
      <c r="I878" s="95"/>
      <c r="J878" s="95"/>
      <c r="K878" s="95"/>
      <c r="L878" s="95"/>
      <c r="M878" s="95"/>
      <c r="N878" s="95"/>
      <c r="O878" s="95"/>
      <c r="P878" s="95"/>
    </row>
    <row r="879" spans="1:76" s="81" customFormat="1" x14ac:dyDescent="0.25">
      <c r="A879" s="110"/>
      <c r="B879" s="95"/>
      <c r="C879" s="95"/>
      <c r="D879" s="76" t="s">
        <v>986</v>
      </c>
      <c r="E879" s="76" t="s">
        <v>54</v>
      </c>
      <c r="F879" s="95"/>
      <c r="G879" s="96">
        <v>1.998</v>
      </c>
      <c r="H879" s="97"/>
      <c r="I879" s="95"/>
      <c r="J879" s="95"/>
      <c r="K879" s="95"/>
      <c r="L879" s="95"/>
      <c r="M879" s="95"/>
      <c r="N879" s="95"/>
      <c r="O879" s="95"/>
      <c r="P879" s="95"/>
    </row>
    <row r="880" spans="1:76" s="81" customFormat="1" x14ac:dyDescent="0.25">
      <c r="A880" s="110"/>
      <c r="B880" s="95"/>
      <c r="C880" s="95"/>
      <c r="D880" s="76" t="s">
        <v>54</v>
      </c>
      <c r="E880" s="76" t="s">
        <v>987</v>
      </c>
      <c r="F880" s="95"/>
      <c r="G880" s="96">
        <v>0</v>
      </c>
      <c r="H880" s="97"/>
      <c r="I880" s="95"/>
      <c r="J880" s="95"/>
      <c r="K880" s="95"/>
      <c r="L880" s="95"/>
      <c r="M880" s="95"/>
      <c r="N880" s="95"/>
      <c r="O880" s="95"/>
      <c r="P880" s="95"/>
    </row>
    <row r="881" spans="1:76" s="81" customFormat="1" x14ac:dyDescent="0.25">
      <c r="A881" s="110"/>
      <c r="B881" s="95"/>
      <c r="C881" s="95"/>
      <c r="D881" s="76" t="s">
        <v>988</v>
      </c>
      <c r="E881" s="76" t="s">
        <v>54</v>
      </c>
      <c r="F881" s="95"/>
      <c r="G881" s="96">
        <v>115</v>
      </c>
      <c r="H881" s="97"/>
      <c r="I881" s="95"/>
      <c r="J881" s="95"/>
      <c r="K881" s="95"/>
      <c r="L881" s="95"/>
      <c r="M881" s="95"/>
      <c r="N881" s="95"/>
      <c r="O881" s="95"/>
      <c r="P881" s="95"/>
    </row>
    <row r="882" spans="1:76" s="81" customFormat="1" x14ac:dyDescent="0.25">
      <c r="A882" s="66" t="s">
        <v>989</v>
      </c>
      <c r="B882" s="72" t="s">
        <v>55</v>
      </c>
      <c r="C882" s="72" t="s">
        <v>990</v>
      </c>
      <c r="D882" s="174" t="s">
        <v>991</v>
      </c>
      <c r="E882" s="174"/>
      <c r="F882" s="72" t="s">
        <v>192</v>
      </c>
      <c r="G882" s="90">
        <v>1.998</v>
      </c>
      <c r="H882" s="91"/>
      <c r="I882" s="92" t="s">
        <v>63</v>
      </c>
      <c r="J882" s="90">
        <f>G882*AO882</f>
        <v>0</v>
      </c>
      <c r="K882" s="90">
        <f>G882*AP882</f>
        <v>0</v>
      </c>
      <c r="L882" s="90">
        <f>G882*H882</f>
        <v>0</v>
      </c>
      <c r="M882" s="90">
        <f>L882*(1+BW882/100)</f>
        <v>0</v>
      </c>
      <c r="N882" s="90">
        <v>3.8210000000000001E-2</v>
      </c>
      <c r="O882" s="90">
        <f>G882*N882</f>
        <v>7.6343580000000008E-2</v>
      </c>
      <c r="P882" s="92" t="s">
        <v>371</v>
      </c>
      <c r="Z882" s="93">
        <f>IF(AQ882="5",BJ882,0)</f>
        <v>0</v>
      </c>
      <c r="AB882" s="93">
        <f>IF(AQ882="1",BH882,0)</f>
        <v>0</v>
      </c>
      <c r="AC882" s="93">
        <f>IF(AQ882="1",BI882,0)</f>
        <v>0</v>
      </c>
      <c r="AD882" s="93">
        <f>IF(AQ882="7",BH882,0)</f>
        <v>0</v>
      </c>
      <c r="AE882" s="93">
        <f>IF(AQ882="7",BI882,0)</f>
        <v>0</v>
      </c>
      <c r="AF882" s="93">
        <f>IF(AQ882="2",BH882,0)</f>
        <v>0</v>
      </c>
      <c r="AG882" s="93">
        <f>IF(AQ882="2",BI882,0)</f>
        <v>0</v>
      </c>
      <c r="AH882" s="93">
        <f>IF(AQ882="0",BJ882,0)</f>
        <v>0</v>
      </c>
      <c r="AI882" s="88" t="s">
        <v>55</v>
      </c>
      <c r="AJ882" s="93">
        <f>IF(AN882=0,L882,0)</f>
        <v>0</v>
      </c>
      <c r="AK882" s="93">
        <f>IF(AN882=12,L882,0)</f>
        <v>0</v>
      </c>
      <c r="AL882" s="93">
        <f>IF(AN882=21,L882,0)</f>
        <v>0</v>
      </c>
      <c r="AN882" s="93">
        <v>21</v>
      </c>
      <c r="AO882" s="93">
        <f>H882*0.775285742</f>
        <v>0</v>
      </c>
      <c r="AP882" s="93">
        <f>H882*(1-0.775285742)</f>
        <v>0</v>
      </c>
      <c r="AQ882" s="94" t="s">
        <v>59</v>
      </c>
      <c r="AV882" s="93">
        <f>AW882+AX882</f>
        <v>0</v>
      </c>
      <c r="AW882" s="93">
        <f>G882*AO882</f>
        <v>0</v>
      </c>
      <c r="AX882" s="93">
        <f>G882*AP882</f>
        <v>0</v>
      </c>
      <c r="AY882" s="94" t="s">
        <v>971</v>
      </c>
      <c r="AZ882" s="94" t="s">
        <v>871</v>
      </c>
      <c r="BA882" s="88" t="s">
        <v>67</v>
      </c>
      <c r="BC882" s="93">
        <f>AW882+AX882</f>
        <v>0</v>
      </c>
      <c r="BD882" s="93">
        <f>H882/(100-BE882)*100</f>
        <v>0</v>
      </c>
      <c r="BE882" s="93">
        <v>0</v>
      </c>
      <c r="BF882" s="93">
        <f>O882</f>
        <v>7.6343580000000008E-2</v>
      </c>
      <c r="BH882" s="93">
        <f>G882*AO882</f>
        <v>0</v>
      </c>
      <c r="BI882" s="93">
        <f>G882*AP882</f>
        <v>0</v>
      </c>
      <c r="BJ882" s="93">
        <f>G882*H882</f>
        <v>0</v>
      </c>
      <c r="BK882" s="93"/>
      <c r="BL882" s="93">
        <v>62</v>
      </c>
      <c r="BW882" s="93" t="str">
        <f>I882</f>
        <v>21</v>
      </c>
      <c r="BX882" s="2" t="s">
        <v>991</v>
      </c>
    </row>
    <row r="883" spans="1:76" s="81" customFormat="1" ht="13.5" customHeight="1" x14ac:dyDescent="0.25">
      <c r="A883" s="110"/>
      <c r="B883" s="95"/>
      <c r="C883" s="95"/>
      <c r="D883" s="179" t="s">
        <v>972</v>
      </c>
      <c r="E883" s="179"/>
      <c r="F883" s="179"/>
      <c r="G883" s="179"/>
      <c r="H883" s="179"/>
      <c r="I883" s="179"/>
      <c r="J883" s="179"/>
      <c r="K883" s="179"/>
      <c r="L883" s="179"/>
      <c r="M883" s="179"/>
      <c r="N883" s="179"/>
      <c r="O883" s="179"/>
      <c r="P883" s="179"/>
    </row>
    <row r="884" spans="1:76" s="81" customFormat="1" x14ac:dyDescent="0.25">
      <c r="A884" s="110"/>
      <c r="B884" s="95"/>
      <c r="C884" s="95"/>
      <c r="D884" s="76" t="s">
        <v>54</v>
      </c>
      <c r="E884" s="76" t="s">
        <v>980</v>
      </c>
      <c r="F884" s="95"/>
      <c r="G884" s="96">
        <v>0</v>
      </c>
      <c r="H884" s="95"/>
      <c r="I884" s="95"/>
      <c r="J884" s="95"/>
      <c r="K884" s="95"/>
      <c r="L884" s="95"/>
      <c r="M884" s="95"/>
      <c r="N884" s="95"/>
      <c r="O884" s="95"/>
      <c r="P884" s="95"/>
    </row>
    <row r="885" spans="1:76" s="81" customFormat="1" x14ac:dyDescent="0.25">
      <c r="A885" s="110"/>
      <c r="B885" s="95"/>
      <c r="C885" s="95"/>
      <c r="D885" s="76" t="s">
        <v>986</v>
      </c>
      <c r="E885" s="76" t="s">
        <v>54</v>
      </c>
      <c r="F885" s="95"/>
      <c r="G885" s="96">
        <v>1.998</v>
      </c>
      <c r="H885" s="95"/>
      <c r="I885" s="95"/>
      <c r="J885" s="95"/>
      <c r="K885" s="95"/>
      <c r="L885" s="95"/>
      <c r="M885" s="95"/>
      <c r="N885" s="95"/>
      <c r="O885" s="95"/>
      <c r="P885" s="95"/>
    </row>
    <row r="886" spans="1:76" s="81" customFormat="1" x14ac:dyDescent="0.25">
      <c r="A886" s="66" t="s">
        <v>992</v>
      </c>
      <c r="B886" s="72" t="s">
        <v>55</v>
      </c>
      <c r="C886" s="72" t="s">
        <v>993</v>
      </c>
      <c r="D886" s="174" t="s">
        <v>994</v>
      </c>
      <c r="E886" s="174"/>
      <c r="F886" s="72" t="s">
        <v>192</v>
      </c>
      <c r="G886" s="90">
        <v>115</v>
      </c>
      <c r="H886" s="91"/>
      <c r="I886" s="92" t="s">
        <v>63</v>
      </c>
      <c r="J886" s="90">
        <f>G886*AO886</f>
        <v>0</v>
      </c>
      <c r="K886" s="90">
        <f>G886*AP886</f>
        <v>0</v>
      </c>
      <c r="L886" s="90">
        <f>G886*H886</f>
        <v>0</v>
      </c>
      <c r="M886" s="90">
        <f>L886*(1+BW886/100)</f>
        <v>0</v>
      </c>
      <c r="N886" s="90">
        <v>2.3089999999999999E-2</v>
      </c>
      <c r="O886" s="90">
        <f>G886*N886</f>
        <v>2.6553499999999999</v>
      </c>
      <c r="P886" s="92" t="s">
        <v>64</v>
      </c>
      <c r="Z886" s="93">
        <f>IF(AQ886="5",BJ886,0)</f>
        <v>0</v>
      </c>
      <c r="AB886" s="93">
        <f>IF(AQ886="1",BH886,0)</f>
        <v>0</v>
      </c>
      <c r="AC886" s="93">
        <f>IF(AQ886="1",BI886,0)</f>
        <v>0</v>
      </c>
      <c r="AD886" s="93">
        <f>IF(AQ886="7",BH886,0)</f>
        <v>0</v>
      </c>
      <c r="AE886" s="93">
        <f>IF(AQ886="7",BI886,0)</f>
        <v>0</v>
      </c>
      <c r="AF886" s="93">
        <f>IF(AQ886="2",BH886,0)</f>
        <v>0</v>
      </c>
      <c r="AG886" s="93">
        <f>IF(AQ886="2",BI886,0)</f>
        <v>0</v>
      </c>
      <c r="AH886" s="93">
        <f>IF(AQ886="0",BJ886,0)</f>
        <v>0</v>
      </c>
      <c r="AI886" s="88" t="s">
        <v>55</v>
      </c>
      <c r="AJ886" s="93">
        <f>IF(AN886=0,L886,0)</f>
        <v>0</v>
      </c>
      <c r="AK886" s="93">
        <f>IF(AN886=12,L886,0)</f>
        <v>0</v>
      </c>
      <c r="AL886" s="93">
        <f>IF(AN886=21,L886,0)</f>
        <v>0</v>
      </c>
      <c r="AN886" s="93">
        <v>21</v>
      </c>
      <c r="AO886" s="93">
        <f>H886*0.597092589</f>
        <v>0</v>
      </c>
      <c r="AP886" s="93">
        <f>H886*(1-0.597092589)</f>
        <v>0</v>
      </c>
      <c r="AQ886" s="94" t="s">
        <v>59</v>
      </c>
      <c r="AV886" s="93">
        <f>AW886+AX886</f>
        <v>0</v>
      </c>
      <c r="AW886" s="93">
        <f>G886*AO886</f>
        <v>0</v>
      </c>
      <c r="AX886" s="93">
        <f>G886*AP886</f>
        <v>0</v>
      </c>
      <c r="AY886" s="94" t="s">
        <v>971</v>
      </c>
      <c r="AZ886" s="94" t="s">
        <v>871</v>
      </c>
      <c r="BA886" s="88" t="s">
        <v>67</v>
      </c>
      <c r="BC886" s="93">
        <f>AW886+AX886</f>
        <v>0</v>
      </c>
      <c r="BD886" s="93">
        <f>H886/(100-BE886)*100</f>
        <v>0</v>
      </c>
      <c r="BE886" s="93">
        <v>0</v>
      </c>
      <c r="BF886" s="93">
        <f>O886</f>
        <v>2.6553499999999999</v>
      </c>
      <c r="BH886" s="93">
        <f>G886*AO886</f>
        <v>0</v>
      </c>
      <c r="BI886" s="93">
        <f>G886*AP886</f>
        <v>0</v>
      </c>
      <c r="BJ886" s="93">
        <f>G886*H886</f>
        <v>0</v>
      </c>
      <c r="BK886" s="93"/>
      <c r="BL886" s="93">
        <v>62</v>
      </c>
      <c r="BW886" s="93" t="str">
        <f>I886</f>
        <v>21</v>
      </c>
      <c r="BX886" s="2" t="s">
        <v>994</v>
      </c>
    </row>
    <row r="887" spans="1:76" s="81" customFormat="1" ht="13.5" customHeight="1" x14ac:dyDescent="0.25">
      <c r="A887" s="110"/>
      <c r="B887" s="95"/>
      <c r="C887" s="95"/>
      <c r="D887" s="179" t="s">
        <v>972</v>
      </c>
      <c r="E887" s="179"/>
      <c r="F887" s="179"/>
      <c r="G887" s="179"/>
      <c r="H887" s="179"/>
      <c r="I887" s="179"/>
      <c r="J887" s="179"/>
      <c r="K887" s="179"/>
      <c r="L887" s="179"/>
      <c r="M887" s="179"/>
      <c r="N887" s="179"/>
      <c r="O887" s="179"/>
      <c r="P887" s="179"/>
    </row>
    <row r="888" spans="1:76" s="81" customFormat="1" x14ac:dyDescent="0.25">
      <c r="A888" s="110"/>
      <c r="B888" s="95"/>
      <c r="C888" s="95"/>
      <c r="D888" s="76" t="s">
        <v>988</v>
      </c>
      <c r="E888" s="76" t="s">
        <v>987</v>
      </c>
      <c r="F888" s="95"/>
      <c r="G888" s="96">
        <v>115</v>
      </c>
      <c r="H888" s="95"/>
      <c r="I888" s="95"/>
      <c r="J888" s="95"/>
      <c r="K888" s="95"/>
      <c r="L888" s="95"/>
      <c r="M888" s="95"/>
      <c r="N888" s="95"/>
      <c r="O888" s="95"/>
      <c r="P888" s="95"/>
    </row>
    <row r="889" spans="1:76" s="81" customFormat="1" x14ac:dyDescent="0.25">
      <c r="A889" s="66" t="s">
        <v>988</v>
      </c>
      <c r="B889" s="72" t="s">
        <v>55</v>
      </c>
      <c r="C889" s="72" t="s">
        <v>995</v>
      </c>
      <c r="D889" s="174" t="s">
        <v>996</v>
      </c>
      <c r="E889" s="174"/>
      <c r="F889" s="72" t="s">
        <v>192</v>
      </c>
      <c r="G889" s="90">
        <v>387.03277000000003</v>
      </c>
      <c r="H889" s="91"/>
      <c r="I889" s="92" t="s">
        <v>63</v>
      </c>
      <c r="J889" s="90">
        <f>G889*AO889</f>
        <v>0</v>
      </c>
      <c r="K889" s="90">
        <f>G889*AP889</f>
        <v>0</v>
      </c>
      <c r="L889" s="90">
        <f>G889*H889</f>
        <v>0</v>
      </c>
      <c r="M889" s="90">
        <f>L889*(1+BW889/100)</f>
        <v>0</v>
      </c>
      <c r="N889" s="90">
        <v>9.4999999999999998E-3</v>
      </c>
      <c r="O889" s="90">
        <f>G889*N889</f>
        <v>3.6768113150000001</v>
      </c>
      <c r="P889" s="92" t="s">
        <v>64</v>
      </c>
      <c r="Z889" s="93">
        <f>IF(AQ889="5",BJ889,0)</f>
        <v>0</v>
      </c>
      <c r="AB889" s="93">
        <f>IF(AQ889="1",BH889,0)</f>
        <v>0</v>
      </c>
      <c r="AC889" s="93">
        <f>IF(AQ889="1",BI889,0)</f>
        <v>0</v>
      </c>
      <c r="AD889" s="93">
        <f>IF(AQ889="7",BH889,0)</f>
        <v>0</v>
      </c>
      <c r="AE889" s="93">
        <f>IF(AQ889="7",BI889,0)</f>
        <v>0</v>
      </c>
      <c r="AF889" s="93">
        <f>IF(AQ889="2",BH889,0)</f>
        <v>0</v>
      </c>
      <c r="AG889" s="93">
        <f>IF(AQ889="2",BI889,0)</f>
        <v>0</v>
      </c>
      <c r="AH889" s="93">
        <f>IF(AQ889="0",BJ889,0)</f>
        <v>0</v>
      </c>
      <c r="AI889" s="88" t="s">
        <v>55</v>
      </c>
      <c r="AJ889" s="93">
        <f>IF(AN889=0,L889,0)</f>
        <v>0</v>
      </c>
      <c r="AK889" s="93">
        <f>IF(AN889=12,L889,0)</f>
        <v>0</v>
      </c>
      <c r="AL889" s="93">
        <f>IF(AN889=21,L889,0)</f>
        <v>0</v>
      </c>
      <c r="AN889" s="93">
        <v>21</v>
      </c>
      <c r="AO889" s="93">
        <f>H889*0.780375396</f>
        <v>0</v>
      </c>
      <c r="AP889" s="93">
        <f>H889*(1-0.780375396)</f>
        <v>0</v>
      </c>
      <c r="AQ889" s="94" t="s">
        <v>59</v>
      </c>
      <c r="AV889" s="93">
        <f>AW889+AX889</f>
        <v>0</v>
      </c>
      <c r="AW889" s="93">
        <f>G889*AO889</f>
        <v>0</v>
      </c>
      <c r="AX889" s="93">
        <f>G889*AP889</f>
        <v>0</v>
      </c>
      <c r="AY889" s="94" t="s">
        <v>971</v>
      </c>
      <c r="AZ889" s="94" t="s">
        <v>871</v>
      </c>
      <c r="BA889" s="88" t="s">
        <v>67</v>
      </c>
      <c r="BC889" s="93">
        <f>AW889+AX889</f>
        <v>0</v>
      </c>
      <c r="BD889" s="93">
        <f>H889/(100-BE889)*100</f>
        <v>0</v>
      </c>
      <c r="BE889" s="93">
        <v>0</v>
      </c>
      <c r="BF889" s="93">
        <f>O889</f>
        <v>3.6768113150000001</v>
      </c>
      <c r="BH889" s="93">
        <f>G889*AO889</f>
        <v>0</v>
      </c>
      <c r="BI889" s="93">
        <f>G889*AP889</f>
        <v>0</v>
      </c>
      <c r="BJ889" s="93">
        <f>G889*H889</f>
        <v>0</v>
      </c>
      <c r="BK889" s="93"/>
      <c r="BL889" s="93">
        <v>62</v>
      </c>
      <c r="BW889" s="93" t="str">
        <f>I889</f>
        <v>21</v>
      </c>
      <c r="BX889" s="2" t="s">
        <v>996</v>
      </c>
    </row>
    <row r="890" spans="1:76" s="81" customFormat="1" x14ac:dyDescent="0.25">
      <c r="A890" s="110"/>
      <c r="B890" s="95"/>
      <c r="C890" s="95"/>
      <c r="D890" s="76" t="s">
        <v>54</v>
      </c>
      <c r="E890" s="76" t="s">
        <v>948</v>
      </c>
      <c r="F890" s="95"/>
      <c r="G890" s="96">
        <v>0</v>
      </c>
      <c r="H890" s="97"/>
      <c r="I890" s="95"/>
      <c r="J890" s="95"/>
      <c r="K890" s="95"/>
      <c r="L890" s="95"/>
      <c r="M890" s="95"/>
      <c r="N890" s="95"/>
      <c r="O890" s="95"/>
      <c r="P890" s="95"/>
    </row>
    <row r="891" spans="1:76" s="81" customFormat="1" x14ac:dyDescent="0.25">
      <c r="A891" s="110"/>
      <c r="B891" s="95"/>
      <c r="C891" s="95"/>
      <c r="D891" s="76" t="s">
        <v>997</v>
      </c>
      <c r="E891" s="76" t="s">
        <v>54</v>
      </c>
      <c r="F891" s="95"/>
      <c r="G891" s="96">
        <v>202.16363999999999</v>
      </c>
      <c r="H891" s="97"/>
      <c r="I891" s="95"/>
      <c r="J891" s="95"/>
      <c r="K891" s="95"/>
      <c r="L891" s="95"/>
      <c r="M891" s="95"/>
      <c r="N891" s="95"/>
      <c r="O891" s="95"/>
      <c r="P891" s="95"/>
    </row>
    <row r="892" spans="1:76" s="81" customFormat="1" x14ac:dyDescent="0.25">
      <c r="A892" s="110"/>
      <c r="B892" s="95"/>
      <c r="C892" s="95"/>
      <c r="D892" s="76" t="s">
        <v>998</v>
      </c>
      <c r="E892" s="76" t="s">
        <v>54</v>
      </c>
      <c r="F892" s="95"/>
      <c r="G892" s="96">
        <v>28.102429999999998</v>
      </c>
      <c r="H892" s="97"/>
      <c r="I892" s="95"/>
      <c r="J892" s="95"/>
      <c r="K892" s="95"/>
      <c r="L892" s="95"/>
      <c r="M892" s="95"/>
      <c r="N892" s="95"/>
      <c r="O892" s="95"/>
      <c r="P892" s="95"/>
    </row>
    <row r="893" spans="1:76" s="81" customFormat="1" x14ac:dyDescent="0.25">
      <c r="A893" s="110"/>
      <c r="B893" s="95"/>
      <c r="C893" s="95"/>
      <c r="D893" s="76" t="s">
        <v>999</v>
      </c>
      <c r="E893" s="76" t="s">
        <v>54</v>
      </c>
      <c r="F893" s="95"/>
      <c r="G893" s="96">
        <v>85.9572</v>
      </c>
      <c r="H893" s="97"/>
      <c r="I893" s="95"/>
      <c r="J893" s="95"/>
      <c r="K893" s="95"/>
      <c r="L893" s="95"/>
      <c r="M893" s="95"/>
      <c r="N893" s="95"/>
      <c r="O893" s="95"/>
      <c r="P893" s="95"/>
    </row>
    <row r="894" spans="1:76" s="81" customFormat="1" x14ac:dyDescent="0.25">
      <c r="A894" s="110"/>
      <c r="B894" s="95"/>
      <c r="C894" s="95"/>
      <c r="D894" s="76" t="s">
        <v>1000</v>
      </c>
      <c r="E894" s="76" t="s">
        <v>54</v>
      </c>
      <c r="F894" s="95"/>
      <c r="G894" s="96">
        <v>64.076999999999998</v>
      </c>
      <c r="H894" s="97"/>
      <c r="I894" s="95"/>
      <c r="J894" s="95"/>
      <c r="K894" s="95"/>
      <c r="L894" s="95"/>
      <c r="M894" s="95"/>
      <c r="N894" s="95"/>
      <c r="O894" s="95"/>
      <c r="P894" s="95"/>
    </row>
    <row r="895" spans="1:76" s="81" customFormat="1" x14ac:dyDescent="0.25">
      <c r="A895" s="110"/>
      <c r="B895" s="95"/>
      <c r="C895" s="95"/>
      <c r="D895" s="76" t="s">
        <v>1001</v>
      </c>
      <c r="E895" s="76" t="s">
        <v>54</v>
      </c>
      <c r="F895" s="95"/>
      <c r="G895" s="96">
        <v>6.7324999999999999</v>
      </c>
      <c r="H895" s="97"/>
      <c r="I895" s="95"/>
      <c r="J895" s="95"/>
      <c r="K895" s="95"/>
      <c r="L895" s="95"/>
      <c r="M895" s="95"/>
      <c r="N895" s="95"/>
      <c r="O895" s="95"/>
      <c r="P895" s="95"/>
    </row>
    <row r="896" spans="1:76" s="81" customFormat="1" x14ac:dyDescent="0.25">
      <c r="A896" s="66" t="s">
        <v>1002</v>
      </c>
      <c r="B896" s="72" t="s">
        <v>55</v>
      </c>
      <c r="C896" s="72" t="s">
        <v>1003</v>
      </c>
      <c r="D896" s="174" t="s">
        <v>1004</v>
      </c>
      <c r="E896" s="174"/>
      <c r="F896" s="72" t="s">
        <v>192</v>
      </c>
      <c r="G896" s="90">
        <v>45.449669999999998</v>
      </c>
      <c r="H896" s="91"/>
      <c r="I896" s="92" t="s">
        <v>63</v>
      </c>
      <c r="J896" s="90">
        <f>G896*AO896</f>
        <v>0</v>
      </c>
      <c r="K896" s="90">
        <f>G896*AP896</f>
        <v>0</v>
      </c>
      <c r="L896" s="90">
        <f>G896*H896</f>
        <v>0</v>
      </c>
      <c r="M896" s="90">
        <f>L896*(1+BW896/100)</f>
        <v>0</v>
      </c>
      <c r="N896" s="90">
        <v>7.3600000000000002E-3</v>
      </c>
      <c r="O896" s="90">
        <f>G896*N896</f>
        <v>0.33450957119999997</v>
      </c>
      <c r="P896" s="92" t="s">
        <v>64</v>
      </c>
      <c r="Z896" s="93">
        <f>IF(AQ896="5",BJ896,0)</f>
        <v>0</v>
      </c>
      <c r="AB896" s="93">
        <f>IF(AQ896="1",BH896,0)</f>
        <v>0</v>
      </c>
      <c r="AC896" s="93">
        <f>IF(AQ896="1",BI896,0)</f>
        <v>0</v>
      </c>
      <c r="AD896" s="93">
        <f>IF(AQ896="7",BH896,0)</f>
        <v>0</v>
      </c>
      <c r="AE896" s="93">
        <f>IF(AQ896="7",BI896,0)</f>
        <v>0</v>
      </c>
      <c r="AF896" s="93">
        <f>IF(AQ896="2",BH896,0)</f>
        <v>0</v>
      </c>
      <c r="AG896" s="93">
        <f>IF(AQ896="2",BI896,0)</f>
        <v>0</v>
      </c>
      <c r="AH896" s="93">
        <f>IF(AQ896="0",BJ896,0)</f>
        <v>0</v>
      </c>
      <c r="AI896" s="88" t="s">
        <v>55</v>
      </c>
      <c r="AJ896" s="93">
        <f>IF(AN896=0,L896,0)</f>
        <v>0</v>
      </c>
      <c r="AK896" s="93">
        <f>IF(AN896=12,L896,0)</f>
        <v>0</v>
      </c>
      <c r="AL896" s="93">
        <f>IF(AN896=21,L896,0)</f>
        <v>0</v>
      </c>
      <c r="AN896" s="93">
        <v>21</v>
      </c>
      <c r="AO896" s="93">
        <f>H896*0.700141723</f>
        <v>0</v>
      </c>
      <c r="AP896" s="93">
        <f>H896*(1-0.700141723)</f>
        <v>0</v>
      </c>
      <c r="AQ896" s="94" t="s">
        <v>59</v>
      </c>
      <c r="AV896" s="93">
        <f>AW896+AX896</f>
        <v>0</v>
      </c>
      <c r="AW896" s="93">
        <f>G896*AO896</f>
        <v>0</v>
      </c>
      <c r="AX896" s="93">
        <f>G896*AP896</f>
        <v>0</v>
      </c>
      <c r="AY896" s="94" t="s">
        <v>971</v>
      </c>
      <c r="AZ896" s="94" t="s">
        <v>871</v>
      </c>
      <c r="BA896" s="88" t="s">
        <v>67</v>
      </c>
      <c r="BC896" s="93">
        <f>AW896+AX896</f>
        <v>0</v>
      </c>
      <c r="BD896" s="93">
        <f>H896/(100-BE896)*100</f>
        <v>0</v>
      </c>
      <c r="BE896" s="93">
        <v>0</v>
      </c>
      <c r="BF896" s="93">
        <f>O896</f>
        <v>0.33450957119999997</v>
      </c>
      <c r="BH896" s="93">
        <f>G896*AO896</f>
        <v>0</v>
      </c>
      <c r="BI896" s="93">
        <f>G896*AP896</f>
        <v>0</v>
      </c>
      <c r="BJ896" s="93">
        <f>G896*H896</f>
        <v>0</v>
      </c>
      <c r="BK896" s="93"/>
      <c r="BL896" s="93">
        <v>62</v>
      </c>
      <c r="BW896" s="93" t="str">
        <f>I896</f>
        <v>21</v>
      </c>
      <c r="BX896" s="2" t="s">
        <v>1004</v>
      </c>
    </row>
    <row r="897" spans="1:76" s="81" customFormat="1" x14ac:dyDescent="0.25">
      <c r="A897" s="110"/>
      <c r="B897" s="95"/>
      <c r="C897" s="95"/>
      <c r="D897" s="76" t="s">
        <v>54</v>
      </c>
      <c r="E897" s="76" t="s">
        <v>948</v>
      </c>
      <c r="F897" s="95"/>
      <c r="G897" s="96">
        <v>0</v>
      </c>
      <c r="H897" s="97"/>
      <c r="I897" s="95"/>
      <c r="J897" s="95"/>
      <c r="K897" s="95"/>
      <c r="L897" s="95"/>
      <c r="M897" s="95"/>
      <c r="N897" s="95"/>
      <c r="O897" s="95"/>
      <c r="P897" s="95"/>
    </row>
    <row r="898" spans="1:76" s="81" customFormat="1" x14ac:dyDescent="0.25">
      <c r="A898" s="110"/>
      <c r="B898" s="95"/>
      <c r="C898" s="95"/>
      <c r="D898" s="76" t="s">
        <v>1005</v>
      </c>
      <c r="E898" s="76" t="s">
        <v>54</v>
      </c>
      <c r="F898" s="95"/>
      <c r="G898" s="96">
        <v>45.449669999999998</v>
      </c>
      <c r="H898" s="97"/>
      <c r="I898" s="95"/>
      <c r="J898" s="95"/>
      <c r="K898" s="95"/>
      <c r="L898" s="95"/>
      <c r="M898" s="95"/>
      <c r="N898" s="95"/>
      <c r="O898" s="95"/>
      <c r="P898" s="95"/>
    </row>
    <row r="899" spans="1:76" s="81" customFormat="1" x14ac:dyDescent="0.25">
      <c r="A899" s="66" t="s">
        <v>1006</v>
      </c>
      <c r="B899" s="72" t="s">
        <v>55</v>
      </c>
      <c r="C899" s="72" t="s">
        <v>1007</v>
      </c>
      <c r="D899" s="174" t="s">
        <v>1008</v>
      </c>
      <c r="E899" s="174"/>
      <c r="F899" s="72" t="s">
        <v>192</v>
      </c>
      <c r="G899" s="90">
        <v>25.045940000000002</v>
      </c>
      <c r="H899" s="91"/>
      <c r="I899" s="92" t="s">
        <v>63</v>
      </c>
      <c r="J899" s="90">
        <f>G899*AO899</f>
        <v>0</v>
      </c>
      <c r="K899" s="90">
        <f>G899*AP899</f>
        <v>0</v>
      </c>
      <c r="L899" s="90">
        <f>G899*H899</f>
        <v>0</v>
      </c>
      <c r="M899" s="90">
        <f>L899*(1+BW899/100)</f>
        <v>0</v>
      </c>
      <c r="N899" s="90">
        <v>1.856E-2</v>
      </c>
      <c r="O899" s="90">
        <f>G899*N899</f>
        <v>0.46485264640000001</v>
      </c>
      <c r="P899" s="92" t="s">
        <v>64</v>
      </c>
      <c r="Z899" s="93">
        <f>IF(AQ899="5",BJ899,0)</f>
        <v>0</v>
      </c>
      <c r="AB899" s="93">
        <f>IF(AQ899="1",BH899,0)</f>
        <v>0</v>
      </c>
      <c r="AC899" s="93">
        <f>IF(AQ899="1",BI899,0)</f>
        <v>0</v>
      </c>
      <c r="AD899" s="93">
        <f>IF(AQ899="7",BH899,0)</f>
        <v>0</v>
      </c>
      <c r="AE899" s="93">
        <f>IF(AQ899="7",BI899,0)</f>
        <v>0</v>
      </c>
      <c r="AF899" s="93">
        <f>IF(AQ899="2",BH899,0)</f>
        <v>0</v>
      </c>
      <c r="AG899" s="93">
        <f>IF(AQ899="2",BI899,0)</f>
        <v>0</v>
      </c>
      <c r="AH899" s="93">
        <f>IF(AQ899="0",BJ899,0)</f>
        <v>0</v>
      </c>
      <c r="AI899" s="88" t="s">
        <v>55</v>
      </c>
      <c r="AJ899" s="93">
        <f>IF(AN899=0,L899,0)</f>
        <v>0</v>
      </c>
      <c r="AK899" s="93">
        <f>IF(AN899=12,L899,0)</f>
        <v>0</v>
      </c>
      <c r="AL899" s="93">
        <f>IF(AN899=21,L899,0)</f>
        <v>0</v>
      </c>
      <c r="AN899" s="93">
        <v>21</v>
      </c>
      <c r="AO899" s="93">
        <f>H899*0.697060088</f>
        <v>0</v>
      </c>
      <c r="AP899" s="93">
        <f>H899*(1-0.697060088)</f>
        <v>0</v>
      </c>
      <c r="AQ899" s="94" t="s">
        <v>59</v>
      </c>
      <c r="AV899" s="93">
        <f>AW899+AX899</f>
        <v>0</v>
      </c>
      <c r="AW899" s="93">
        <f>G899*AO899</f>
        <v>0</v>
      </c>
      <c r="AX899" s="93">
        <f>G899*AP899</f>
        <v>0</v>
      </c>
      <c r="AY899" s="94" t="s">
        <v>971</v>
      </c>
      <c r="AZ899" s="94" t="s">
        <v>871</v>
      </c>
      <c r="BA899" s="88" t="s">
        <v>67</v>
      </c>
      <c r="BC899" s="93">
        <f>AW899+AX899</f>
        <v>0</v>
      </c>
      <c r="BD899" s="93">
        <f>H899/(100-BE899)*100</f>
        <v>0</v>
      </c>
      <c r="BE899" s="93">
        <v>0</v>
      </c>
      <c r="BF899" s="93">
        <f>O899</f>
        <v>0.46485264640000001</v>
      </c>
      <c r="BH899" s="93">
        <f>G899*AO899</f>
        <v>0</v>
      </c>
      <c r="BI899" s="93">
        <f>G899*AP899</f>
        <v>0</v>
      </c>
      <c r="BJ899" s="93">
        <f>G899*H899</f>
        <v>0</v>
      </c>
      <c r="BK899" s="93"/>
      <c r="BL899" s="93">
        <v>62</v>
      </c>
      <c r="BW899" s="93" t="str">
        <f>I899</f>
        <v>21</v>
      </c>
      <c r="BX899" s="2" t="s">
        <v>1008</v>
      </c>
    </row>
    <row r="900" spans="1:76" s="81" customFormat="1" ht="13.5" customHeight="1" x14ac:dyDescent="0.25">
      <c r="A900" s="110"/>
      <c r="B900" s="95"/>
      <c r="C900" s="95"/>
      <c r="D900" s="179" t="s">
        <v>972</v>
      </c>
      <c r="E900" s="179"/>
      <c r="F900" s="179"/>
      <c r="G900" s="179"/>
      <c r="H900" s="179"/>
      <c r="I900" s="179"/>
      <c r="J900" s="179"/>
      <c r="K900" s="179"/>
      <c r="L900" s="179"/>
      <c r="M900" s="179"/>
      <c r="N900" s="179"/>
      <c r="O900" s="179"/>
      <c r="P900" s="179"/>
    </row>
    <row r="901" spans="1:76" s="81" customFormat="1" x14ac:dyDescent="0.25">
      <c r="A901" s="110"/>
      <c r="B901" s="95"/>
      <c r="C901" s="95"/>
      <c r="D901" s="76" t="s">
        <v>54</v>
      </c>
      <c r="E901" s="76" t="s">
        <v>948</v>
      </c>
      <c r="F901" s="95"/>
      <c r="G901" s="96">
        <v>0</v>
      </c>
      <c r="H901" s="95"/>
      <c r="I901" s="95"/>
      <c r="J901" s="95"/>
      <c r="K901" s="95"/>
      <c r="L901" s="95"/>
      <c r="M901" s="95"/>
      <c r="N901" s="95"/>
      <c r="O901" s="95"/>
      <c r="P901" s="95"/>
    </row>
    <row r="902" spans="1:76" s="81" customFormat="1" ht="25.5" x14ac:dyDescent="0.25">
      <c r="A902" s="110"/>
      <c r="B902" s="95"/>
      <c r="C902" s="95"/>
      <c r="D902" s="76" t="s">
        <v>1009</v>
      </c>
      <c r="E902" s="76" t="s">
        <v>54</v>
      </c>
      <c r="F902" s="95"/>
      <c r="G902" s="96">
        <v>25.045940000000002</v>
      </c>
      <c r="H902" s="95"/>
      <c r="I902" s="95"/>
      <c r="J902" s="95"/>
      <c r="K902" s="95"/>
      <c r="L902" s="95"/>
      <c r="M902" s="95"/>
      <c r="N902" s="95"/>
      <c r="O902" s="95"/>
      <c r="P902" s="95"/>
    </row>
    <row r="903" spans="1:76" s="81" customFormat="1" x14ac:dyDescent="0.25">
      <c r="A903" s="66" t="s">
        <v>1010</v>
      </c>
      <c r="B903" s="72" t="s">
        <v>55</v>
      </c>
      <c r="C903" s="72" t="s">
        <v>1011</v>
      </c>
      <c r="D903" s="174" t="s">
        <v>1012</v>
      </c>
      <c r="E903" s="174"/>
      <c r="F903" s="72" t="s">
        <v>192</v>
      </c>
      <c r="G903" s="90">
        <v>28.019970000000001</v>
      </c>
      <c r="H903" s="91"/>
      <c r="I903" s="92" t="s">
        <v>63</v>
      </c>
      <c r="J903" s="90">
        <f>G903*AO903</f>
        <v>0</v>
      </c>
      <c r="K903" s="90">
        <f>G903*AP903</f>
        <v>0</v>
      </c>
      <c r="L903" s="90">
        <f>G903*H903</f>
        <v>0</v>
      </c>
      <c r="M903" s="90">
        <f>L903*(1+BW903/100)</f>
        <v>0</v>
      </c>
      <c r="N903" s="90">
        <v>1.6420000000000001E-2</v>
      </c>
      <c r="O903" s="90">
        <f>G903*N903</f>
        <v>0.46008790740000005</v>
      </c>
      <c r="P903" s="92" t="s">
        <v>64</v>
      </c>
      <c r="Z903" s="93">
        <f>IF(AQ903="5",BJ903,0)</f>
        <v>0</v>
      </c>
      <c r="AB903" s="93">
        <f>IF(AQ903="1",BH903,0)</f>
        <v>0</v>
      </c>
      <c r="AC903" s="93">
        <f>IF(AQ903="1",BI903,0)</f>
        <v>0</v>
      </c>
      <c r="AD903" s="93">
        <f>IF(AQ903="7",BH903,0)</f>
        <v>0</v>
      </c>
      <c r="AE903" s="93">
        <f>IF(AQ903="7",BI903,0)</f>
        <v>0</v>
      </c>
      <c r="AF903" s="93">
        <f>IF(AQ903="2",BH903,0)</f>
        <v>0</v>
      </c>
      <c r="AG903" s="93">
        <f>IF(AQ903="2",BI903,0)</f>
        <v>0</v>
      </c>
      <c r="AH903" s="93">
        <f>IF(AQ903="0",BJ903,0)</f>
        <v>0</v>
      </c>
      <c r="AI903" s="88" t="s">
        <v>55</v>
      </c>
      <c r="AJ903" s="93">
        <f>IF(AN903=0,L903,0)</f>
        <v>0</v>
      </c>
      <c r="AK903" s="93">
        <f>IF(AN903=12,L903,0)</f>
        <v>0</v>
      </c>
      <c r="AL903" s="93">
        <f>IF(AN903=21,L903,0)</f>
        <v>0</v>
      </c>
      <c r="AN903" s="93">
        <v>21</v>
      </c>
      <c r="AO903" s="93">
        <f>H903*0.646013041</f>
        <v>0</v>
      </c>
      <c r="AP903" s="93">
        <f>H903*(1-0.646013041)</f>
        <v>0</v>
      </c>
      <c r="AQ903" s="94" t="s">
        <v>59</v>
      </c>
      <c r="AV903" s="93">
        <f>AW903+AX903</f>
        <v>0</v>
      </c>
      <c r="AW903" s="93">
        <f>G903*AO903</f>
        <v>0</v>
      </c>
      <c r="AX903" s="93">
        <f>G903*AP903</f>
        <v>0</v>
      </c>
      <c r="AY903" s="94" t="s">
        <v>971</v>
      </c>
      <c r="AZ903" s="94" t="s">
        <v>871</v>
      </c>
      <c r="BA903" s="88" t="s">
        <v>67</v>
      </c>
      <c r="BC903" s="93">
        <f>AW903+AX903</f>
        <v>0</v>
      </c>
      <c r="BD903" s="93">
        <f>H903/(100-BE903)*100</f>
        <v>0</v>
      </c>
      <c r="BE903" s="93">
        <v>0</v>
      </c>
      <c r="BF903" s="93">
        <f>O903</f>
        <v>0.46008790740000005</v>
      </c>
      <c r="BH903" s="93">
        <f>G903*AO903</f>
        <v>0</v>
      </c>
      <c r="BI903" s="93">
        <f>G903*AP903</f>
        <v>0</v>
      </c>
      <c r="BJ903" s="93">
        <f>G903*H903</f>
        <v>0</v>
      </c>
      <c r="BK903" s="93"/>
      <c r="BL903" s="93">
        <v>62</v>
      </c>
      <c r="BW903" s="93" t="str">
        <f>I903</f>
        <v>21</v>
      </c>
      <c r="BX903" s="2" t="s">
        <v>1012</v>
      </c>
    </row>
    <row r="904" spans="1:76" s="81" customFormat="1" ht="13.5" customHeight="1" x14ac:dyDescent="0.25">
      <c r="A904" s="110"/>
      <c r="B904" s="95"/>
      <c r="C904" s="95"/>
      <c r="D904" s="179" t="s">
        <v>972</v>
      </c>
      <c r="E904" s="179"/>
      <c r="F904" s="179"/>
      <c r="G904" s="179"/>
      <c r="H904" s="179"/>
      <c r="I904" s="179"/>
      <c r="J904" s="179"/>
      <c r="K904" s="179"/>
      <c r="L904" s="179"/>
      <c r="M904" s="179"/>
      <c r="N904" s="179"/>
      <c r="O904" s="179"/>
      <c r="P904" s="179"/>
    </row>
    <row r="905" spans="1:76" s="81" customFormat="1" ht="25.5" x14ac:dyDescent="0.25">
      <c r="A905" s="110"/>
      <c r="B905" s="95"/>
      <c r="C905" s="95"/>
      <c r="D905" s="76" t="s">
        <v>1013</v>
      </c>
      <c r="E905" s="76" t="s">
        <v>1014</v>
      </c>
      <c r="F905" s="95"/>
      <c r="G905" s="96">
        <v>28.019970000000001</v>
      </c>
      <c r="H905" s="95"/>
      <c r="I905" s="95"/>
      <c r="J905" s="95"/>
      <c r="K905" s="95"/>
      <c r="L905" s="95"/>
      <c r="M905" s="95"/>
      <c r="N905" s="95"/>
      <c r="O905" s="95"/>
      <c r="P905" s="95"/>
    </row>
    <row r="906" spans="1:76" s="81" customFormat="1" x14ac:dyDescent="0.25">
      <c r="A906" s="66" t="s">
        <v>1015</v>
      </c>
      <c r="B906" s="72" t="s">
        <v>55</v>
      </c>
      <c r="C906" s="72" t="s">
        <v>1016</v>
      </c>
      <c r="D906" s="174" t="s">
        <v>1017</v>
      </c>
      <c r="E906" s="174"/>
      <c r="F906" s="72" t="s">
        <v>192</v>
      </c>
      <c r="G906" s="90">
        <v>317.65463</v>
      </c>
      <c r="H906" s="91"/>
      <c r="I906" s="92" t="s">
        <v>63</v>
      </c>
      <c r="J906" s="90">
        <f>G906*AO906</f>
        <v>0</v>
      </c>
      <c r="K906" s="90">
        <f>G906*AP906</f>
        <v>0</v>
      </c>
      <c r="L906" s="90">
        <f>G906*H906</f>
        <v>0</v>
      </c>
      <c r="M906" s="90">
        <f>L906*(1+BW906/100)</f>
        <v>0</v>
      </c>
      <c r="N906" s="90">
        <v>3.6700000000000001E-3</v>
      </c>
      <c r="O906" s="90">
        <f>G906*N906</f>
        <v>1.1657924921</v>
      </c>
      <c r="P906" s="92" t="s">
        <v>64</v>
      </c>
      <c r="Z906" s="93">
        <f>IF(AQ906="5",BJ906,0)</f>
        <v>0</v>
      </c>
      <c r="AB906" s="93">
        <f>IF(AQ906="1",BH906,0)</f>
        <v>0</v>
      </c>
      <c r="AC906" s="93">
        <f>IF(AQ906="1",BI906,0)</f>
        <v>0</v>
      </c>
      <c r="AD906" s="93">
        <f>IF(AQ906="7",BH906,0)</f>
        <v>0</v>
      </c>
      <c r="AE906" s="93">
        <f>IF(AQ906="7",BI906,0)</f>
        <v>0</v>
      </c>
      <c r="AF906" s="93">
        <f>IF(AQ906="2",BH906,0)</f>
        <v>0</v>
      </c>
      <c r="AG906" s="93">
        <f>IF(AQ906="2",BI906,0)</f>
        <v>0</v>
      </c>
      <c r="AH906" s="93">
        <f>IF(AQ906="0",BJ906,0)</f>
        <v>0</v>
      </c>
      <c r="AI906" s="88" t="s">
        <v>55</v>
      </c>
      <c r="AJ906" s="93">
        <f>IF(AN906=0,L906,0)</f>
        <v>0</v>
      </c>
      <c r="AK906" s="93">
        <f>IF(AN906=12,L906,0)</f>
        <v>0</v>
      </c>
      <c r="AL906" s="93">
        <f>IF(AN906=21,L906,0)</f>
        <v>0</v>
      </c>
      <c r="AN906" s="93">
        <v>21</v>
      </c>
      <c r="AO906" s="93">
        <f>H906*0.297330061</f>
        <v>0</v>
      </c>
      <c r="AP906" s="93">
        <f>H906*(1-0.297330061)</f>
        <v>0</v>
      </c>
      <c r="AQ906" s="94" t="s">
        <v>59</v>
      </c>
      <c r="AV906" s="93">
        <f>AW906+AX906</f>
        <v>0</v>
      </c>
      <c r="AW906" s="93">
        <f>G906*AO906</f>
        <v>0</v>
      </c>
      <c r="AX906" s="93">
        <f>G906*AP906</f>
        <v>0</v>
      </c>
      <c r="AY906" s="94" t="s">
        <v>971</v>
      </c>
      <c r="AZ906" s="94" t="s">
        <v>871</v>
      </c>
      <c r="BA906" s="88" t="s">
        <v>67</v>
      </c>
      <c r="BC906" s="93">
        <f>AW906+AX906</f>
        <v>0</v>
      </c>
      <c r="BD906" s="93">
        <f>H906/(100-BE906)*100</f>
        <v>0</v>
      </c>
      <c r="BE906" s="93">
        <v>0</v>
      </c>
      <c r="BF906" s="93">
        <f>O906</f>
        <v>1.1657924921</v>
      </c>
      <c r="BH906" s="93">
        <f>G906*AO906</f>
        <v>0</v>
      </c>
      <c r="BI906" s="93">
        <f>G906*AP906</f>
        <v>0</v>
      </c>
      <c r="BJ906" s="93">
        <f>G906*H906</f>
        <v>0</v>
      </c>
      <c r="BK906" s="93"/>
      <c r="BL906" s="93">
        <v>62</v>
      </c>
      <c r="BW906" s="93" t="str">
        <f>I906</f>
        <v>21</v>
      </c>
      <c r="BX906" s="2" t="s">
        <v>1017</v>
      </c>
    </row>
    <row r="907" spans="1:76" s="81" customFormat="1" ht="13.5" customHeight="1" x14ac:dyDescent="0.25">
      <c r="A907" s="110"/>
      <c r="B907" s="95"/>
      <c r="C907" s="95"/>
      <c r="D907" s="179" t="s">
        <v>1018</v>
      </c>
      <c r="E907" s="179"/>
      <c r="F907" s="179"/>
      <c r="G907" s="179"/>
      <c r="H907" s="179"/>
      <c r="I907" s="179"/>
      <c r="J907" s="179"/>
      <c r="K907" s="179"/>
      <c r="L907" s="179"/>
      <c r="M907" s="179"/>
      <c r="N907" s="179"/>
      <c r="O907" s="179"/>
      <c r="P907" s="179"/>
    </row>
    <row r="908" spans="1:76" s="81" customFormat="1" x14ac:dyDescent="0.25">
      <c r="A908" s="110"/>
      <c r="B908" s="95"/>
      <c r="C908" s="95"/>
      <c r="D908" s="76" t="s">
        <v>54</v>
      </c>
      <c r="E908" s="76" t="s">
        <v>948</v>
      </c>
      <c r="F908" s="95"/>
      <c r="G908" s="96">
        <v>0</v>
      </c>
      <c r="H908" s="95"/>
      <c r="I908" s="95"/>
      <c r="J908" s="95"/>
      <c r="K908" s="95"/>
      <c r="L908" s="95"/>
      <c r="M908" s="95"/>
      <c r="N908" s="95"/>
      <c r="O908" s="95"/>
      <c r="P908" s="95"/>
    </row>
    <row r="909" spans="1:76" s="81" customFormat="1" x14ac:dyDescent="0.25">
      <c r="A909" s="110"/>
      <c r="B909" s="95"/>
      <c r="C909" s="95"/>
      <c r="D909" s="76" t="s">
        <v>54</v>
      </c>
      <c r="E909" s="76" t="s">
        <v>949</v>
      </c>
      <c r="F909" s="95"/>
      <c r="G909" s="96">
        <v>0</v>
      </c>
      <c r="H909" s="95"/>
      <c r="I909" s="95"/>
      <c r="J909" s="95"/>
      <c r="K909" s="95"/>
      <c r="L909" s="95"/>
      <c r="M909" s="95"/>
      <c r="N909" s="95"/>
      <c r="O909" s="95"/>
      <c r="P909" s="95"/>
    </row>
    <row r="910" spans="1:76" s="81" customFormat="1" x14ac:dyDescent="0.25">
      <c r="A910" s="110"/>
      <c r="B910" s="95"/>
      <c r="C910" s="95"/>
      <c r="D910" s="76" t="s">
        <v>950</v>
      </c>
      <c r="E910" s="76" t="s">
        <v>54</v>
      </c>
      <c r="F910" s="95"/>
      <c r="G910" s="96">
        <v>38.902630000000002</v>
      </c>
      <c r="H910" s="95"/>
      <c r="I910" s="95"/>
      <c r="J910" s="95"/>
      <c r="K910" s="95"/>
      <c r="L910" s="95"/>
      <c r="M910" s="95"/>
      <c r="N910" s="95"/>
      <c r="O910" s="95"/>
      <c r="P910" s="95"/>
    </row>
    <row r="911" spans="1:76" s="81" customFormat="1" x14ac:dyDescent="0.25">
      <c r="A911" s="110"/>
      <c r="B911" s="95"/>
      <c r="C911" s="95"/>
      <c r="D911" s="76" t="s">
        <v>951</v>
      </c>
      <c r="E911" s="76" t="s">
        <v>54</v>
      </c>
      <c r="F911" s="95"/>
      <c r="G911" s="96">
        <v>4.8528599999999997</v>
      </c>
      <c r="H911" s="95"/>
      <c r="I911" s="95"/>
      <c r="J911" s="95"/>
      <c r="K911" s="95"/>
      <c r="L911" s="95"/>
      <c r="M911" s="95"/>
      <c r="N911" s="95"/>
      <c r="O911" s="95"/>
      <c r="P911" s="95"/>
    </row>
    <row r="912" spans="1:76" s="81" customFormat="1" x14ac:dyDescent="0.25">
      <c r="A912" s="110"/>
      <c r="B912" s="95"/>
      <c r="C912" s="95"/>
      <c r="D912" s="76" t="s">
        <v>952</v>
      </c>
      <c r="E912" s="76" t="s">
        <v>54</v>
      </c>
      <c r="F912" s="95"/>
      <c r="G912" s="96">
        <v>39.750549999999997</v>
      </c>
      <c r="H912" s="95"/>
      <c r="I912" s="95"/>
      <c r="J912" s="95"/>
      <c r="K912" s="95"/>
      <c r="L912" s="95"/>
      <c r="M912" s="95"/>
      <c r="N912" s="95"/>
      <c r="O912" s="95"/>
      <c r="P912" s="95"/>
    </row>
    <row r="913" spans="1:76" s="81" customFormat="1" x14ac:dyDescent="0.25">
      <c r="A913" s="110"/>
      <c r="B913" s="95"/>
      <c r="C913" s="95"/>
      <c r="D913" s="76" t="s">
        <v>953</v>
      </c>
      <c r="E913" s="76" t="s">
        <v>54</v>
      </c>
      <c r="F913" s="95"/>
      <c r="G913" s="96">
        <v>5.8507699999999998</v>
      </c>
      <c r="H913" s="95"/>
      <c r="I913" s="95"/>
      <c r="J913" s="95"/>
      <c r="K913" s="95"/>
      <c r="L913" s="95"/>
      <c r="M913" s="95"/>
      <c r="N913" s="95"/>
      <c r="O913" s="95"/>
      <c r="P913" s="95"/>
    </row>
    <row r="914" spans="1:76" s="81" customFormat="1" x14ac:dyDescent="0.25">
      <c r="A914" s="110"/>
      <c r="B914" s="95"/>
      <c r="C914" s="95"/>
      <c r="D914" s="76" t="s">
        <v>954</v>
      </c>
      <c r="E914" s="76" t="s">
        <v>54</v>
      </c>
      <c r="F914" s="95"/>
      <c r="G914" s="96">
        <v>3.0399500000000002</v>
      </c>
      <c r="H914" s="95"/>
      <c r="I914" s="95"/>
      <c r="J914" s="95"/>
      <c r="K914" s="95"/>
      <c r="L914" s="95"/>
      <c r="M914" s="95"/>
      <c r="N914" s="95"/>
      <c r="O914" s="95"/>
      <c r="P914" s="95"/>
    </row>
    <row r="915" spans="1:76" s="81" customFormat="1" x14ac:dyDescent="0.25">
      <c r="A915" s="110"/>
      <c r="B915" s="95"/>
      <c r="C915" s="95"/>
      <c r="D915" s="76" t="s">
        <v>955</v>
      </c>
      <c r="E915" s="76" t="s">
        <v>54</v>
      </c>
      <c r="F915" s="95"/>
      <c r="G915" s="96">
        <v>62.08</v>
      </c>
      <c r="H915" s="95"/>
      <c r="I915" s="95"/>
      <c r="J915" s="95"/>
      <c r="K915" s="95"/>
      <c r="L915" s="95"/>
      <c r="M915" s="95"/>
      <c r="N915" s="95"/>
      <c r="O915" s="95"/>
      <c r="P915" s="95"/>
    </row>
    <row r="916" spans="1:76" s="81" customFormat="1" x14ac:dyDescent="0.25">
      <c r="A916" s="110"/>
      <c r="B916" s="95"/>
      <c r="C916" s="95"/>
      <c r="D916" s="76" t="s">
        <v>956</v>
      </c>
      <c r="E916" s="76" t="s">
        <v>54</v>
      </c>
      <c r="F916" s="95"/>
      <c r="G916" s="96">
        <v>11.577500000000001</v>
      </c>
      <c r="H916" s="95"/>
      <c r="I916" s="95"/>
      <c r="J916" s="95"/>
      <c r="K916" s="95"/>
      <c r="L916" s="95"/>
      <c r="M916" s="95"/>
      <c r="N916" s="95"/>
      <c r="O916" s="95"/>
      <c r="P916" s="95"/>
    </row>
    <row r="917" spans="1:76" s="81" customFormat="1" x14ac:dyDescent="0.25">
      <c r="A917" s="110"/>
      <c r="B917" s="95"/>
      <c r="C917" s="95"/>
      <c r="D917" s="76" t="s">
        <v>957</v>
      </c>
      <c r="E917" s="76" t="s">
        <v>54</v>
      </c>
      <c r="F917" s="95"/>
      <c r="G917" s="96">
        <v>11.53505</v>
      </c>
      <c r="H917" s="95"/>
      <c r="I917" s="95"/>
      <c r="J917" s="95"/>
      <c r="K917" s="95"/>
      <c r="L917" s="95"/>
      <c r="M917" s="95"/>
      <c r="N917" s="95"/>
      <c r="O917" s="95"/>
      <c r="P917" s="95"/>
    </row>
    <row r="918" spans="1:76" s="81" customFormat="1" x14ac:dyDescent="0.25">
      <c r="A918" s="110"/>
      <c r="B918" s="95"/>
      <c r="C918" s="95"/>
      <c r="D918" s="76" t="s">
        <v>958</v>
      </c>
      <c r="E918" s="76" t="s">
        <v>54</v>
      </c>
      <c r="F918" s="95"/>
      <c r="G918" s="96">
        <v>72.38</v>
      </c>
      <c r="H918" s="95"/>
      <c r="I918" s="95"/>
      <c r="J918" s="95"/>
      <c r="K918" s="95"/>
      <c r="L918" s="95"/>
      <c r="M918" s="95"/>
      <c r="N918" s="95"/>
      <c r="O918" s="95"/>
      <c r="P918" s="95"/>
    </row>
    <row r="919" spans="1:76" s="81" customFormat="1" x14ac:dyDescent="0.25">
      <c r="A919" s="110"/>
      <c r="B919" s="95"/>
      <c r="C919" s="95"/>
      <c r="D919" s="76" t="s">
        <v>959</v>
      </c>
      <c r="E919" s="76" t="s">
        <v>54</v>
      </c>
      <c r="F919" s="95"/>
      <c r="G919" s="96">
        <v>56.271970000000003</v>
      </c>
      <c r="H919" s="95"/>
      <c r="I919" s="95"/>
      <c r="J919" s="95"/>
      <c r="K919" s="95"/>
      <c r="L919" s="95"/>
      <c r="M919" s="95"/>
      <c r="N919" s="95"/>
      <c r="O919" s="95"/>
      <c r="P919" s="95"/>
    </row>
    <row r="920" spans="1:76" s="81" customFormat="1" x14ac:dyDescent="0.25">
      <c r="A920" s="110"/>
      <c r="B920" s="95"/>
      <c r="C920" s="95"/>
      <c r="D920" s="76" t="s">
        <v>960</v>
      </c>
      <c r="E920" s="76" t="s">
        <v>54</v>
      </c>
      <c r="F920" s="95"/>
      <c r="G920" s="96">
        <v>11.413349999999999</v>
      </c>
      <c r="H920" s="95"/>
      <c r="I920" s="95"/>
      <c r="J920" s="95"/>
      <c r="K920" s="95"/>
      <c r="L920" s="95"/>
      <c r="M920" s="95"/>
      <c r="N920" s="95"/>
      <c r="O920" s="95"/>
      <c r="P920" s="95"/>
    </row>
    <row r="921" spans="1:76" s="81" customFormat="1" x14ac:dyDescent="0.25">
      <c r="A921" s="66" t="s">
        <v>1019</v>
      </c>
      <c r="B921" s="72" t="s">
        <v>55</v>
      </c>
      <c r="C921" s="72" t="s">
        <v>1020</v>
      </c>
      <c r="D921" s="174" t="s">
        <v>1021</v>
      </c>
      <c r="E921" s="174"/>
      <c r="F921" s="72" t="s">
        <v>192</v>
      </c>
      <c r="G921" s="90">
        <v>363.44925999999998</v>
      </c>
      <c r="H921" s="91"/>
      <c r="I921" s="92" t="s">
        <v>63</v>
      </c>
      <c r="J921" s="90">
        <f>G921*AO921</f>
        <v>0</v>
      </c>
      <c r="K921" s="90">
        <f>G921*AP921</f>
        <v>0</v>
      </c>
      <c r="L921" s="90">
        <f>G921*H921</f>
        <v>0</v>
      </c>
      <c r="M921" s="90">
        <f>L921*(1+BW921/100)</f>
        <v>0</v>
      </c>
      <c r="N921" s="90">
        <v>1.423E-2</v>
      </c>
      <c r="O921" s="90">
        <f>G921*N921</f>
        <v>5.1718829697999995</v>
      </c>
      <c r="P921" s="92" t="s">
        <v>64</v>
      </c>
      <c r="Z921" s="93">
        <f>IF(AQ921="5",BJ921,0)</f>
        <v>0</v>
      </c>
      <c r="AB921" s="93">
        <f>IF(AQ921="1",BH921,0)</f>
        <v>0</v>
      </c>
      <c r="AC921" s="93">
        <f>IF(AQ921="1",BI921,0)</f>
        <v>0</v>
      </c>
      <c r="AD921" s="93">
        <f>IF(AQ921="7",BH921,0)</f>
        <v>0</v>
      </c>
      <c r="AE921" s="93">
        <f>IF(AQ921="7",BI921,0)</f>
        <v>0</v>
      </c>
      <c r="AF921" s="93">
        <f>IF(AQ921="2",BH921,0)</f>
        <v>0</v>
      </c>
      <c r="AG921" s="93">
        <f>IF(AQ921="2",BI921,0)</f>
        <v>0</v>
      </c>
      <c r="AH921" s="93">
        <f>IF(AQ921="0",BJ921,0)</f>
        <v>0</v>
      </c>
      <c r="AI921" s="88" t="s">
        <v>55</v>
      </c>
      <c r="AJ921" s="93">
        <f>IF(AN921=0,L921,0)</f>
        <v>0</v>
      </c>
      <c r="AK921" s="93">
        <f>IF(AN921=12,L921,0)</f>
        <v>0</v>
      </c>
      <c r="AL921" s="93">
        <f>IF(AN921=21,L921,0)</f>
        <v>0</v>
      </c>
      <c r="AN921" s="93">
        <v>21</v>
      </c>
      <c r="AO921" s="93">
        <f>H921*0.574789158</f>
        <v>0</v>
      </c>
      <c r="AP921" s="93">
        <f>H921*(1-0.574789158)</f>
        <v>0</v>
      </c>
      <c r="AQ921" s="94" t="s">
        <v>59</v>
      </c>
      <c r="AV921" s="93">
        <f>AW921+AX921</f>
        <v>0</v>
      </c>
      <c r="AW921" s="93">
        <f>G921*AO921</f>
        <v>0</v>
      </c>
      <c r="AX921" s="93">
        <f>G921*AP921</f>
        <v>0</v>
      </c>
      <c r="AY921" s="94" t="s">
        <v>971</v>
      </c>
      <c r="AZ921" s="94" t="s">
        <v>871</v>
      </c>
      <c r="BA921" s="88" t="s">
        <v>67</v>
      </c>
      <c r="BC921" s="93">
        <f>AW921+AX921</f>
        <v>0</v>
      </c>
      <c r="BD921" s="93">
        <f>H921/(100-BE921)*100</f>
        <v>0</v>
      </c>
      <c r="BE921" s="93">
        <v>0</v>
      </c>
      <c r="BF921" s="93">
        <f>O921</f>
        <v>5.1718829697999995</v>
      </c>
      <c r="BH921" s="93">
        <f>G921*AO921</f>
        <v>0</v>
      </c>
      <c r="BI921" s="93">
        <f>G921*AP921</f>
        <v>0</v>
      </c>
      <c r="BJ921" s="93">
        <f>G921*H921</f>
        <v>0</v>
      </c>
      <c r="BK921" s="93"/>
      <c r="BL921" s="93">
        <v>62</v>
      </c>
      <c r="BW921" s="93" t="str">
        <f>I921</f>
        <v>21</v>
      </c>
      <c r="BX921" s="2" t="s">
        <v>1021</v>
      </c>
    </row>
    <row r="922" spans="1:76" s="81" customFormat="1" ht="13.5" customHeight="1" x14ac:dyDescent="0.25">
      <c r="A922" s="110"/>
      <c r="B922" s="95"/>
      <c r="C922" s="95"/>
      <c r="D922" s="179" t="s">
        <v>972</v>
      </c>
      <c r="E922" s="179"/>
      <c r="F922" s="179"/>
      <c r="G922" s="179"/>
      <c r="H922" s="179"/>
      <c r="I922" s="179"/>
      <c r="J922" s="179"/>
      <c r="K922" s="179"/>
      <c r="L922" s="179"/>
      <c r="M922" s="179"/>
      <c r="N922" s="179"/>
      <c r="O922" s="179"/>
      <c r="P922" s="179"/>
    </row>
    <row r="923" spans="1:76" s="81" customFormat="1" x14ac:dyDescent="0.25">
      <c r="A923" s="110"/>
      <c r="B923" s="95"/>
      <c r="C923" s="95"/>
      <c r="D923" s="76" t="s">
        <v>54</v>
      </c>
      <c r="E923" s="76" t="s">
        <v>948</v>
      </c>
      <c r="F923" s="95"/>
      <c r="G923" s="96">
        <v>0</v>
      </c>
      <c r="H923" s="95"/>
      <c r="I923" s="95"/>
      <c r="J923" s="95"/>
      <c r="K923" s="95"/>
      <c r="L923" s="95"/>
      <c r="M923" s="95"/>
      <c r="N923" s="95"/>
      <c r="O923" s="95"/>
      <c r="P923" s="95"/>
    </row>
    <row r="924" spans="1:76" s="81" customFormat="1" x14ac:dyDescent="0.25">
      <c r="A924" s="110"/>
      <c r="B924" s="95"/>
      <c r="C924" s="95"/>
      <c r="D924" s="76" t="s">
        <v>1022</v>
      </c>
      <c r="E924" s="76" t="s">
        <v>54</v>
      </c>
      <c r="F924" s="95"/>
      <c r="G924" s="96">
        <v>16.460899999999999</v>
      </c>
      <c r="H924" s="95"/>
      <c r="I924" s="95"/>
      <c r="J924" s="95"/>
      <c r="K924" s="95"/>
      <c r="L924" s="95"/>
      <c r="M924" s="95"/>
      <c r="N924" s="95"/>
      <c r="O924" s="95"/>
      <c r="P924" s="95"/>
    </row>
    <row r="925" spans="1:76" s="81" customFormat="1" x14ac:dyDescent="0.25">
      <c r="A925" s="110"/>
      <c r="B925" s="95"/>
      <c r="C925" s="95"/>
      <c r="D925" s="76" t="s">
        <v>1023</v>
      </c>
      <c r="E925" s="76" t="s">
        <v>54</v>
      </c>
      <c r="F925" s="95"/>
      <c r="G925" s="96">
        <v>1.9905999999999999</v>
      </c>
      <c r="H925" s="95"/>
      <c r="I925" s="95"/>
      <c r="J925" s="95"/>
      <c r="K925" s="95"/>
      <c r="L925" s="95"/>
      <c r="M925" s="95"/>
      <c r="N925" s="95"/>
      <c r="O925" s="95"/>
      <c r="P925" s="95"/>
    </row>
    <row r="926" spans="1:76" s="81" customFormat="1" ht="25.5" x14ac:dyDescent="0.25">
      <c r="A926" s="110"/>
      <c r="B926" s="95"/>
      <c r="C926" s="95"/>
      <c r="D926" s="76" t="s">
        <v>1024</v>
      </c>
      <c r="E926" s="76" t="s">
        <v>54</v>
      </c>
      <c r="F926" s="95"/>
      <c r="G926" s="96">
        <v>70.625960000000006</v>
      </c>
      <c r="H926" s="95"/>
      <c r="I926" s="95"/>
      <c r="J926" s="95"/>
      <c r="K926" s="95"/>
      <c r="L926" s="95"/>
      <c r="M926" s="95"/>
      <c r="N926" s="95"/>
      <c r="O926" s="95"/>
      <c r="P926" s="95"/>
    </row>
    <row r="927" spans="1:76" s="81" customFormat="1" x14ac:dyDescent="0.25">
      <c r="A927" s="110"/>
      <c r="B927" s="95"/>
      <c r="C927" s="95"/>
      <c r="D927" s="76" t="s">
        <v>1025</v>
      </c>
      <c r="E927" s="76" t="s">
        <v>54</v>
      </c>
      <c r="F927" s="95"/>
      <c r="G927" s="96">
        <v>27.081</v>
      </c>
      <c r="H927" s="95"/>
      <c r="I927" s="95"/>
      <c r="J927" s="95"/>
      <c r="K927" s="95"/>
      <c r="L927" s="95"/>
      <c r="M927" s="95"/>
      <c r="N927" s="95"/>
      <c r="O927" s="95"/>
      <c r="P927" s="95"/>
    </row>
    <row r="928" spans="1:76" s="81" customFormat="1" x14ac:dyDescent="0.25">
      <c r="A928" s="110"/>
      <c r="B928" s="95"/>
      <c r="C928" s="95"/>
      <c r="D928" s="76" t="s">
        <v>1026</v>
      </c>
      <c r="E928" s="76" t="s">
        <v>54</v>
      </c>
      <c r="F928" s="95"/>
      <c r="G928" s="96">
        <v>4.6064999999999996</v>
      </c>
      <c r="H928" s="95"/>
      <c r="I928" s="95"/>
      <c r="J928" s="95"/>
      <c r="K928" s="95"/>
      <c r="L928" s="95"/>
      <c r="M928" s="95"/>
      <c r="N928" s="95"/>
      <c r="O928" s="95"/>
      <c r="P928" s="95"/>
    </row>
    <row r="929" spans="1:76" s="81" customFormat="1" x14ac:dyDescent="0.25">
      <c r="A929" s="110"/>
      <c r="B929" s="95"/>
      <c r="C929" s="95"/>
      <c r="D929" s="76" t="s">
        <v>1027</v>
      </c>
      <c r="E929" s="76" t="s">
        <v>54</v>
      </c>
      <c r="F929" s="95"/>
      <c r="G929" s="96">
        <v>5.4601199999999999</v>
      </c>
      <c r="H929" s="95"/>
      <c r="I929" s="95"/>
      <c r="J929" s="95"/>
      <c r="K929" s="95"/>
      <c r="L929" s="95"/>
      <c r="M929" s="95"/>
      <c r="N929" s="95"/>
      <c r="O929" s="95"/>
      <c r="P929" s="95"/>
    </row>
    <row r="930" spans="1:76" s="81" customFormat="1" ht="25.5" x14ac:dyDescent="0.25">
      <c r="A930" s="110"/>
      <c r="B930" s="95"/>
      <c r="C930" s="95"/>
      <c r="D930" s="76" t="s">
        <v>1028</v>
      </c>
      <c r="E930" s="76" t="s">
        <v>54</v>
      </c>
      <c r="F930" s="95"/>
      <c r="G930" s="96">
        <v>41.09</v>
      </c>
      <c r="H930" s="95"/>
      <c r="I930" s="95"/>
      <c r="J930" s="95"/>
      <c r="K930" s="95"/>
      <c r="L930" s="95"/>
      <c r="M930" s="95"/>
      <c r="N930" s="95"/>
      <c r="O930" s="95"/>
      <c r="P930" s="95"/>
    </row>
    <row r="931" spans="1:76" s="81" customFormat="1" x14ac:dyDescent="0.25">
      <c r="A931" s="110"/>
      <c r="B931" s="95"/>
      <c r="C931" s="95"/>
      <c r="D931" s="76" t="s">
        <v>1029</v>
      </c>
      <c r="E931" s="76" t="s">
        <v>54</v>
      </c>
      <c r="F931" s="95"/>
      <c r="G931" s="96">
        <v>-11.837</v>
      </c>
      <c r="H931" s="95"/>
      <c r="I931" s="95"/>
      <c r="J931" s="95"/>
      <c r="K931" s="95"/>
      <c r="L931" s="95"/>
      <c r="M931" s="95"/>
      <c r="N931" s="95"/>
      <c r="O931" s="95"/>
      <c r="P931" s="95"/>
    </row>
    <row r="932" spans="1:76" s="81" customFormat="1" ht="25.5" x14ac:dyDescent="0.25">
      <c r="A932" s="110"/>
      <c r="B932" s="95"/>
      <c r="C932" s="95"/>
      <c r="D932" s="76" t="s">
        <v>1030</v>
      </c>
      <c r="E932" s="76" t="s">
        <v>54</v>
      </c>
      <c r="F932" s="95"/>
      <c r="G932" s="96">
        <v>45.37115</v>
      </c>
      <c r="H932" s="95"/>
      <c r="I932" s="95"/>
      <c r="J932" s="95"/>
      <c r="K932" s="95"/>
      <c r="L932" s="95"/>
      <c r="M932" s="95"/>
      <c r="N932" s="95"/>
      <c r="O932" s="95"/>
      <c r="P932" s="95"/>
    </row>
    <row r="933" spans="1:76" s="81" customFormat="1" x14ac:dyDescent="0.25">
      <c r="A933" s="110"/>
      <c r="B933" s="95"/>
      <c r="C933" s="95"/>
      <c r="D933" s="76" t="s">
        <v>1031</v>
      </c>
      <c r="E933" s="76" t="s">
        <v>54</v>
      </c>
      <c r="F933" s="95"/>
      <c r="G933" s="96">
        <v>14.805</v>
      </c>
      <c r="H933" s="95"/>
      <c r="I933" s="95"/>
      <c r="J933" s="95"/>
      <c r="K933" s="95"/>
      <c r="L933" s="95"/>
      <c r="M933" s="95"/>
      <c r="N933" s="95"/>
      <c r="O933" s="95"/>
      <c r="P933" s="95"/>
    </row>
    <row r="934" spans="1:76" s="81" customFormat="1" x14ac:dyDescent="0.25">
      <c r="A934" s="110"/>
      <c r="B934" s="95"/>
      <c r="C934" s="95"/>
      <c r="D934" s="76" t="s">
        <v>1032</v>
      </c>
      <c r="E934" s="76" t="s">
        <v>54</v>
      </c>
      <c r="F934" s="95"/>
      <c r="G934" s="96">
        <v>200.22155000000001</v>
      </c>
      <c r="H934" s="95"/>
      <c r="I934" s="95"/>
      <c r="J934" s="95"/>
      <c r="K934" s="95"/>
      <c r="L934" s="95"/>
      <c r="M934" s="95"/>
      <c r="N934" s="95"/>
      <c r="O934" s="95"/>
      <c r="P934" s="95"/>
    </row>
    <row r="935" spans="1:76" s="81" customFormat="1" ht="38.25" x14ac:dyDescent="0.25">
      <c r="A935" s="110"/>
      <c r="B935" s="95"/>
      <c r="C935" s="95"/>
      <c r="D935" s="76" t="s">
        <v>1033</v>
      </c>
      <c r="E935" s="76" t="s">
        <v>54</v>
      </c>
      <c r="F935" s="95"/>
      <c r="G935" s="96">
        <v>-76.049419999999998</v>
      </c>
      <c r="H935" s="95"/>
      <c r="I935" s="95"/>
      <c r="J935" s="95"/>
      <c r="K935" s="95"/>
      <c r="L935" s="95"/>
      <c r="M935" s="95"/>
      <c r="N935" s="95"/>
      <c r="O935" s="95"/>
      <c r="P935" s="95"/>
    </row>
    <row r="936" spans="1:76" s="81" customFormat="1" x14ac:dyDescent="0.25">
      <c r="A936" s="110"/>
      <c r="B936" s="95"/>
      <c r="C936" s="95"/>
      <c r="D936" s="76" t="s">
        <v>1034</v>
      </c>
      <c r="E936" s="76" t="s">
        <v>54</v>
      </c>
      <c r="F936" s="95"/>
      <c r="G936" s="96">
        <v>23.622900000000001</v>
      </c>
      <c r="H936" s="95"/>
      <c r="I936" s="95"/>
      <c r="J936" s="95"/>
      <c r="K936" s="95"/>
      <c r="L936" s="95"/>
      <c r="M936" s="95"/>
      <c r="N936" s="95"/>
      <c r="O936" s="95"/>
      <c r="P936" s="95"/>
    </row>
    <row r="937" spans="1:76" s="81" customFormat="1" x14ac:dyDescent="0.25">
      <c r="A937" s="66" t="s">
        <v>1035</v>
      </c>
      <c r="B937" s="72" t="s">
        <v>55</v>
      </c>
      <c r="C937" s="72" t="s">
        <v>1036</v>
      </c>
      <c r="D937" s="174" t="s">
        <v>1037</v>
      </c>
      <c r="E937" s="174"/>
      <c r="F937" s="72" t="s">
        <v>192</v>
      </c>
      <c r="G937" s="90">
        <v>5.0347499999999998</v>
      </c>
      <c r="H937" s="91"/>
      <c r="I937" s="92" t="s">
        <v>63</v>
      </c>
      <c r="J937" s="90">
        <f>G937*AO937</f>
        <v>0</v>
      </c>
      <c r="K937" s="90">
        <f>G937*AP937</f>
        <v>0</v>
      </c>
      <c r="L937" s="90">
        <f>G937*H937</f>
        <v>0</v>
      </c>
      <c r="M937" s="90">
        <f>L937*(1+BW937/100)</f>
        <v>0</v>
      </c>
      <c r="N937" s="90">
        <v>1.537E-2</v>
      </c>
      <c r="O937" s="90">
        <f>G937*N937</f>
        <v>7.7384107499999993E-2</v>
      </c>
      <c r="P937" s="92" t="s">
        <v>64</v>
      </c>
      <c r="Z937" s="93">
        <f>IF(AQ937="5",BJ937,0)</f>
        <v>0</v>
      </c>
      <c r="AB937" s="93">
        <f>IF(AQ937="1",BH937,0)</f>
        <v>0</v>
      </c>
      <c r="AC937" s="93">
        <f>IF(AQ937="1",BI937,0)</f>
        <v>0</v>
      </c>
      <c r="AD937" s="93">
        <f>IF(AQ937="7",BH937,0)</f>
        <v>0</v>
      </c>
      <c r="AE937" s="93">
        <f>IF(AQ937="7",BI937,0)</f>
        <v>0</v>
      </c>
      <c r="AF937" s="93">
        <f>IF(AQ937="2",BH937,0)</f>
        <v>0</v>
      </c>
      <c r="AG937" s="93">
        <f>IF(AQ937="2",BI937,0)</f>
        <v>0</v>
      </c>
      <c r="AH937" s="93">
        <f>IF(AQ937="0",BJ937,0)</f>
        <v>0</v>
      </c>
      <c r="AI937" s="88" t="s">
        <v>55</v>
      </c>
      <c r="AJ937" s="93">
        <f>IF(AN937=0,L937,0)</f>
        <v>0</v>
      </c>
      <c r="AK937" s="93">
        <f>IF(AN937=12,L937,0)</f>
        <v>0</v>
      </c>
      <c r="AL937" s="93">
        <f>IF(AN937=21,L937,0)</f>
        <v>0</v>
      </c>
      <c r="AN937" s="93">
        <v>21</v>
      </c>
      <c r="AO937" s="93">
        <f>H937*0.615130961</f>
        <v>0</v>
      </c>
      <c r="AP937" s="93">
        <f>H937*(1-0.615130961)</f>
        <v>0</v>
      </c>
      <c r="AQ937" s="94" t="s">
        <v>59</v>
      </c>
      <c r="AV937" s="93">
        <f>AW937+AX937</f>
        <v>0</v>
      </c>
      <c r="AW937" s="93">
        <f>G937*AO937</f>
        <v>0</v>
      </c>
      <c r="AX937" s="93">
        <f>G937*AP937</f>
        <v>0</v>
      </c>
      <c r="AY937" s="94" t="s">
        <v>971</v>
      </c>
      <c r="AZ937" s="94" t="s">
        <v>871</v>
      </c>
      <c r="BA937" s="88" t="s">
        <v>67</v>
      </c>
      <c r="BC937" s="93">
        <f>AW937+AX937</f>
        <v>0</v>
      </c>
      <c r="BD937" s="93">
        <f>H937/(100-BE937)*100</f>
        <v>0</v>
      </c>
      <c r="BE937" s="93">
        <v>0</v>
      </c>
      <c r="BF937" s="93">
        <f>O937</f>
        <v>7.7384107499999993E-2</v>
      </c>
      <c r="BH937" s="93">
        <f>G937*AO937</f>
        <v>0</v>
      </c>
      <c r="BI937" s="93">
        <f>G937*AP937</f>
        <v>0</v>
      </c>
      <c r="BJ937" s="93">
        <f>G937*H937</f>
        <v>0</v>
      </c>
      <c r="BK937" s="93"/>
      <c r="BL937" s="93">
        <v>62</v>
      </c>
      <c r="BW937" s="93" t="str">
        <f>I937</f>
        <v>21</v>
      </c>
      <c r="BX937" s="2" t="s">
        <v>1037</v>
      </c>
    </row>
    <row r="938" spans="1:76" s="81" customFormat="1" ht="13.5" customHeight="1" x14ac:dyDescent="0.25">
      <c r="A938" s="110"/>
      <c r="B938" s="95"/>
      <c r="C938" s="95"/>
      <c r="D938" s="179" t="s">
        <v>972</v>
      </c>
      <c r="E938" s="179"/>
      <c r="F938" s="179"/>
      <c r="G938" s="179"/>
      <c r="H938" s="179"/>
      <c r="I938" s="179"/>
      <c r="J938" s="179"/>
      <c r="K938" s="179"/>
      <c r="L938" s="179"/>
      <c r="M938" s="179"/>
      <c r="N938" s="179"/>
      <c r="O938" s="179"/>
      <c r="P938" s="179"/>
    </row>
    <row r="939" spans="1:76" s="81" customFormat="1" x14ac:dyDescent="0.25">
      <c r="A939" s="110"/>
      <c r="B939" s="95"/>
      <c r="C939" s="95"/>
      <c r="D939" s="76" t="s">
        <v>54</v>
      </c>
      <c r="E939" s="76" t="s">
        <v>948</v>
      </c>
      <c r="F939" s="95"/>
      <c r="G939" s="96">
        <v>0</v>
      </c>
      <c r="H939" s="95"/>
      <c r="I939" s="95"/>
      <c r="J939" s="95"/>
      <c r="K939" s="95"/>
      <c r="L939" s="95"/>
      <c r="M939" s="95"/>
      <c r="N939" s="95"/>
      <c r="O939" s="95"/>
      <c r="P939" s="95"/>
    </row>
    <row r="940" spans="1:76" s="81" customFormat="1" x14ac:dyDescent="0.25">
      <c r="A940" s="110"/>
      <c r="B940" s="95"/>
      <c r="C940" s="95"/>
      <c r="D940" s="76" t="s">
        <v>1038</v>
      </c>
      <c r="E940" s="76" t="s">
        <v>54</v>
      </c>
      <c r="F940" s="95"/>
      <c r="G940" s="96">
        <v>5.0347499999999998</v>
      </c>
      <c r="H940" s="95"/>
      <c r="I940" s="95"/>
      <c r="J940" s="95"/>
      <c r="K940" s="95"/>
      <c r="L940" s="95"/>
      <c r="M940" s="95"/>
      <c r="N940" s="95"/>
      <c r="O940" s="95"/>
      <c r="P940" s="95"/>
    </row>
    <row r="941" spans="1:76" s="81" customFormat="1" x14ac:dyDescent="0.25">
      <c r="A941" s="66" t="s">
        <v>1039</v>
      </c>
      <c r="B941" s="72" t="s">
        <v>55</v>
      </c>
      <c r="C941" s="72" t="s">
        <v>1040</v>
      </c>
      <c r="D941" s="174" t="s">
        <v>1041</v>
      </c>
      <c r="E941" s="174"/>
      <c r="F941" s="72" t="s">
        <v>192</v>
      </c>
      <c r="G941" s="90">
        <v>31.605039999999999</v>
      </c>
      <c r="H941" s="91"/>
      <c r="I941" s="92" t="s">
        <v>63</v>
      </c>
      <c r="J941" s="90">
        <f>G941*AO941</f>
        <v>0</v>
      </c>
      <c r="K941" s="90">
        <f>G941*AP941</f>
        <v>0</v>
      </c>
      <c r="L941" s="90">
        <f>G941*H941</f>
        <v>0</v>
      </c>
      <c r="M941" s="90">
        <f>L941*(1+BW941/100)</f>
        <v>0</v>
      </c>
      <c r="N941" s="90">
        <v>1.537E-2</v>
      </c>
      <c r="O941" s="90">
        <f>G941*N941</f>
        <v>0.48576946479999999</v>
      </c>
      <c r="P941" s="92" t="s">
        <v>371</v>
      </c>
      <c r="Z941" s="93">
        <f>IF(AQ941="5",BJ941,0)</f>
        <v>0</v>
      </c>
      <c r="AB941" s="93">
        <f>IF(AQ941="1",BH941,0)</f>
        <v>0</v>
      </c>
      <c r="AC941" s="93">
        <f>IF(AQ941="1",BI941,0)</f>
        <v>0</v>
      </c>
      <c r="AD941" s="93">
        <f>IF(AQ941="7",BH941,0)</f>
        <v>0</v>
      </c>
      <c r="AE941" s="93">
        <f>IF(AQ941="7",BI941,0)</f>
        <v>0</v>
      </c>
      <c r="AF941" s="93">
        <f>IF(AQ941="2",BH941,0)</f>
        <v>0</v>
      </c>
      <c r="AG941" s="93">
        <f>IF(AQ941="2",BI941,0)</f>
        <v>0</v>
      </c>
      <c r="AH941" s="93">
        <f>IF(AQ941="0",BJ941,0)</f>
        <v>0</v>
      </c>
      <c r="AI941" s="88" t="s">
        <v>55</v>
      </c>
      <c r="AJ941" s="93">
        <f>IF(AN941=0,L941,0)</f>
        <v>0</v>
      </c>
      <c r="AK941" s="93">
        <f>IF(AN941=12,L941,0)</f>
        <v>0</v>
      </c>
      <c r="AL941" s="93">
        <f>IF(AN941=21,L941,0)</f>
        <v>0</v>
      </c>
      <c r="AN941" s="93">
        <v>21</v>
      </c>
      <c r="AO941" s="93">
        <f>H941*0.652974448</f>
        <v>0</v>
      </c>
      <c r="AP941" s="93">
        <f>H941*(1-0.652974448)</f>
        <v>0</v>
      </c>
      <c r="AQ941" s="94" t="s">
        <v>59</v>
      </c>
      <c r="AV941" s="93">
        <f>AW941+AX941</f>
        <v>0</v>
      </c>
      <c r="AW941" s="93">
        <f>G941*AO941</f>
        <v>0</v>
      </c>
      <c r="AX941" s="93">
        <f>G941*AP941</f>
        <v>0</v>
      </c>
      <c r="AY941" s="94" t="s">
        <v>971</v>
      </c>
      <c r="AZ941" s="94" t="s">
        <v>871</v>
      </c>
      <c r="BA941" s="88" t="s">
        <v>67</v>
      </c>
      <c r="BC941" s="93">
        <f>AW941+AX941</f>
        <v>0</v>
      </c>
      <c r="BD941" s="93">
        <f>H941/(100-BE941)*100</f>
        <v>0</v>
      </c>
      <c r="BE941" s="93">
        <v>0</v>
      </c>
      <c r="BF941" s="93">
        <f>O941</f>
        <v>0.48576946479999999</v>
      </c>
      <c r="BH941" s="93">
        <f>G941*AO941</f>
        <v>0</v>
      </c>
      <c r="BI941" s="93">
        <f>G941*AP941</f>
        <v>0</v>
      </c>
      <c r="BJ941" s="93">
        <f>G941*H941</f>
        <v>0</v>
      </c>
      <c r="BK941" s="93"/>
      <c r="BL941" s="93">
        <v>62</v>
      </c>
      <c r="BW941" s="93" t="str">
        <f>I941</f>
        <v>21</v>
      </c>
      <c r="BX941" s="2" t="s">
        <v>1041</v>
      </c>
    </row>
    <row r="942" spans="1:76" s="81" customFormat="1" ht="13.5" customHeight="1" x14ac:dyDescent="0.25">
      <c r="A942" s="110"/>
      <c r="B942" s="95"/>
      <c r="C942" s="95"/>
      <c r="D942" s="179" t="s">
        <v>972</v>
      </c>
      <c r="E942" s="179"/>
      <c r="F942" s="179"/>
      <c r="G942" s="179"/>
      <c r="H942" s="179"/>
      <c r="I942" s="179"/>
      <c r="J942" s="179"/>
      <c r="K942" s="179"/>
      <c r="L942" s="179"/>
      <c r="M942" s="179"/>
      <c r="N942" s="179"/>
      <c r="O942" s="179"/>
      <c r="P942" s="179"/>
    </row>
    <row r="943" spans="1:76" s="81" customFormat="1" x14ac:dyDescent="0.25">
      <c r="A943" s="110"/>
      <c r="B943" s="95"/>
      <c r="C943" s="95"/>
      <c r="D943" s="76" t="s">
        <v>54</v>
      </c>
      <c r="E943" s="76" t="s">
        <v>948</v>
      </c>
      <c r="F943" s="95"/>
      <c r="G943" s="96">
        <v>0</v>
      </c>
      <c r="H943" s="95"/>
      <c r="I943" s="95"/>
      <c r="J943" s="95"/>
      <c r="K943" s="95"/>
      <c r="L943" s="95"/>
      <c r="M943" s="95"/>
      <c r="N943" s="95"/>
      <c r="O943" s="95"/>
      <c r="P943" s="95"/>
    </row>
    <row r="944" spans="1:76" s="81" customFormat="1" x14ac:dyDescent="0.25">
      <c r="A944" s="110"/>
      <c r="B944" s="95"/>
      <c r="C944" s="95"/>
      <c r="D944" s="76" t="s">
        <v>1042</v>
      </c>
      <c r="E944" s="76" t="s">
        <v>54</v>
      </c>
      <c r="F944" s="95"/>
      <c r="G944" s="96">
        <v>31.605039999999999</v>
      </c>
      <c r="H944" s="95"/>
      <c r="I944" s="95"/>
      <c r="J944" s="95"/>
      <c r="K944" s="95"/>
      <c r="L944" s="95"/>
      <c r="M944" s="95"/>
      <c r="N944" s="95"/>
      <c r="O944" s="95"/>
      <c r="P944" s="95"/>
    </row>
    <row r="945" spans="1:76" s="81" customFormat="1" x14ac:dyDescent="0.25">
      <c r="A945" s="66" t="s">
        <v>1043</v>
      </c>
      <c r="B945" s="72" t="s">
        <v>55</v>
      </c>
      <c r="C945" s="72" t="s">
        <v>1044</v>
      </c>
      <c r="D945" s="174" t="s">
        <v>1045</v>
      </c>
      <c r="E945" s="174"/>
      <c r="F945" s="72" t="s">
        <v>192</v>
      </c>
      <c r="G945" s="90">
        <v>50.003019999999999</v>
      </c>
      <c r="H945" s="91"/>
      <c r="I945" s="92" t="s">
        <v>63</v>
      </c>
      <c r="J945" s="90">
        <f>G945*AO945</f>
        <v>0</v>
      </c>
      <c r="K945" s="90">
        <f>G945*AP945</f>
        <v>0</v>
      </c>
      <c r="L945" s="90">
        <f>G945*H945</f>
        <v>0</v>
      </c>
      <c r="M945" s="90">
        <f>L945*(1+BW945/100)</f>
        <v>0</v>
      </c>
      <c r="N945" s="90">
        <v>1.2330000000000001E-2</v>
      </c>
      <c r="O945" s="90">
        <f>G945*N945</f>
        <v>0.61653723660000004</v>
      </c>
      <c r="P945" s="92" t="s">
        <v>64</v>
      </c>
      <c r="Z945" s="93">
        <f>IF(AQ945="5",BJ945,0)</f>
        <v>0</v>
      </c>
      <c r="AB945" s="93">
        <f>IF(AQ945="1",BH945,0)</f>
        <v>0</v>
      </c>
      <c r="AC945" s="93">
        <f>IF(AQ945="1",BI945,0)</f>
        <v>0</v>
      </c>
      <c r="AD945" s="93">
        <f>IF(AQ945="7",BH945,0)</f>
        <v>0</v>
      </c>
      <c r="AE945" s="93">
        <f>IF(AQ945="7",BI945,0)</f>
        <v>0</v>
      </c>
      <c r="AF945" s="93">
        <f>IF(AQ945="2",BH945,0)</f>
        <v>0</v>
      </c>
      <c r="AG945" s="93">
        <f>IF(AQ945="2",BI945,0)</f>
        <v>0</v>
      </c>
      <c r="AH945" s="93">
        <f>IF(AQ945="0",BJ945,0)</f>
        <v>0</v>
      </c>
      <c r="AI945" s="88" t="s">
        <v>55</v>
      </c>
      <c r="AJ945" s="93">
        <f>IF(AN945=0,L945,0)</f>
        <v>0</v>
      </c>
      <c r="AK945" s="93">
        <f>IF(AN945=12,L945,0)</f>
        <v>0</v>
      </c>
      <c r="AL945" s="93">
        <f>IF(AN945=21,L945,0)</f>
        <v>0</v>
      </c>
      <c r="AN945" s="93">
        <v>21</v>
      </c>
      <c r="AO945" s="93">
        <f>H945*0.479461617</f>
        <v>0</v>
      </c>
      <c r="AP945" s="93">
        <f>H945*(1-0.479461617)</f>
        <v>0</v>
      </c>
      <c r="AQ945" s="94" t="s">
        <v>59</v>
      </c>
      <c r="AV945" s="93">
        <f>AW945+AX945</f>
        <v>0</v>
      </c>
      <c r="AW945" s="93">
        <f>G945*AO945</f>
        <v>0</v>
      </c>
      <c r="AX945" s="93">
        <f>G945*AP945</f>
        <v>0</v>
      </c>
      <c r="AY945" s="94" t="s">
        <v>971</v>
      </c>
      <c r="AZ945" s="94" t="s">
        <v>871</v>
      </c>
      <c r="BA945" s="88" t="s">
        <v>67</v>
      </c>
      <c r="BC945" s="93">
        <f>AW945+AX945</f>
        <v>0</v>
      </c>
      <c r="BD945" s="93">
        <f>H945/(100-BE945)*100</f>
        <v>0</v>
      </c>
      <c r="BE945" s="93">
        <v>0</v>
      </c>
      <c r="BF945" s="93">
        <f>O945</f>
        <v>0.61653723660000004</v>
      </c>
      <c r="BH945" s="93">
        <f>G945*AO945</f>
        <v>0</v>
      </c>
      <c r="BI945" s="93">
        <f>G945*AP945</f>
        <v>0</v>
      </c>
      <c r="BJ945" s="93">
        <f>G945*H945</f>
        <v>0</v>
      </c>
      <c r="BK945" s="93"/>
      <c r="BL945" s="93">
        <v>62</v>
      </c>
      <c r="BW945" s="93" t="str">
        <f>I945</f>
        <v>21</v>
      </c>
      <c r="BX945" s="2" t="s">
        <v>1045</v>
      </c>
    </row>
    <row r="946" spans="1:76" s="81" customFormat="1" ht="13.5" customHeight="1" x14ac:dyDescent="0.25">
      <c r="A946" s="110"/>
      <c r="B946" s="95"/>
      <c r="C946" s="95"/>
      <c r="D946" s="179" t="s">
        <v>972</v>
      </c>
      <c r="E946" s="179"/>
      <c r="F946" s="179"/>
      <c r="G946" s="179"/>
      <c r="H946" s="179"/>
      <c r="I946" s="179"/>
      <c r="J946" s="179"/>
      <c r="K946" s="179"/>
      <c r="L946" s="179"/>
      <c r="M946" s="179"/>
      <c r="N946" s="179"/>
      <c r="O946" s="179"/>
      <c r="P946" s="179"/>
    </row>
    <row r="947" spans="1:76" s="81" customFormat="1" x14ac:dyDescent="0.25">
      <c r="A947" s="110"/>
      <c r="B947" s="95"/>
      <c r="C947" s="95"/>
      <c r="D947" s="76" t="s">
        <v>54</v>
      </c>
      <c r="E947" s="76" t="s">
        <v>948</v>
      </c>
      <c r="F947" s="95"/>
      <c r="G947" s="96">
        <v>0</v>
      </c>
      <c r="H947" s="95"/>
      <c r="I947" s="95"/>
      <c r="J947" s="95"/>
      <c r="K947" s="95"/>
      <c r="L947" s="95"/>
      <c r="M947" s="95"/>
      <c r="N947" s="95"/>
      <c r="O947" s="95"/>
      <c r="P947" s="95"/>
    </row>
    <row r="948" spans="1:76" s="81" customFormat="1" x14ac:dyDescent="0.25">
      <c r="A948" s="110"/>
      <c r="B948" s="95"/>
      <c r="C948" s="95"/>
      <c r="D948" s="76" t="s">
        <v>1046</v>
      </c>
      <c r="E948" s="76" t="s">
        <v>54</v>
      </c>
      <c r="F948" s="95"/>
      <c r="G948" s="96">
        <v>15.379989999999999</v>
      </c>
      <c r="H948" s="95"/>
      <c r="I948" s="95"/>
      <c r="J948" s="95"/>
      <c r="K948" s="95"/>
      <c r="L948" s="95"/>
      <c r="M948" s="95"/>
      <c r="N948" s="95"/>
      <c r="O948" s="95"/>
      <c r="P948" s="95"/>
    </row>
    <row r="949" spans="1:76" s="81" customFormat="1" x14ac:dyDescent="0.25">
      <c r="A949" s="110"/>
      <c r="B949" s="95"/>
      <c r="C949" s="95"/>
      <c r="D949" s="76" t="s">
        <v>1047</v>
      </c>
      <c r="E949" s="76" t="s">
        <v>54</v>
      </c>
      <c r="F949" s="95"/>
      <c r="G949" s="96">
        <v>12.91563</v>
      </c>
      <c r="H949" s="95"/>
      <c r="I949" s="95"/>
      <c r="J949" s="95"/>
      <c r="K949" s="95"/>
      <c r="L949" s="95"/>
      <c r="M949" s="95"/>
      <c r="N949" s="95"/>
      <c r="O949" s="95"/>
      <c r="P949" s="95"/>
    </row>
    <row r="950" spans="1:76" s="81" customFormat="1" ht="38.25" x14ac:dyDescent="0.25">
      <c r="A950" s="110"/>
      <c r="B950" s="95"/>
      <c r="C950" s="95"/>
      <c r="D950" s="76" t="s">
        <v>1048</v>
      </c>
      <c r="E950" s="76" t="s">
        <v>54</v>
      </c>
      <c r="F950" s="95"/>
      <c r="G950" s="96">
        <v>10.178900000000001</v>
      </c>
      <c r="H950" s="95"/>
      <c r="I950" s="95"/>
      <c r="J950" s="95"/>
      <c r="K950" s="95"/>
      <c r="L950" s="95"/>
      <c r="M950" s="95"/>
      <c r="N950" s="95"/>
      <c r="O950" s="95"/>
      <c r="P950" s="95"/>
    </row>
    <row r="951" spans="1:76" s="81" customFormat="1" x14ac:dyDescent="0.25">
      <c r="A951" s="110"/>
      <c r="B951" s="95"/>
      <c r="C951" s="95"/>
      <c r="D951" s="76" t="s">
        <v>1049</v>
      </c>
      <c r="E951" s="76" t="s">
        <v>54</v>
      </c>
      <c r="F951" s="95"/>
      <c r="G951" s="96">
        <v>3.8824999999999998</v>
      </c>
      <c r="H951" s="95"/>
      <c r="I951" s="95"/>
      <c r="J951" s="95"/>
      <c r="K951" s="95"/>
      <c r="L951" s="95"/>
      <c r="M951" s="95"/>
      <c r="N951" s="95"/>
      <c r="O951" s="95"/>
      <c r="P951" s="95"/>
    </row>
    <row r="952" spans="1:76" s="81" customFormat="1" x14ac:dyDescent="0.25">
      <c r="A952" s="110"/>
      <c r="B952" s="95"/>
      <c r="C952" s="95"/>
      <c r="D952" s="76" t="s">
        <v>1050</v>
      </c>
      <c r="E952" s="76" t="s">
        <v>54</v>
      </c>
      <c r="F952" s="95"/>
      <c r="G952" s="96">
        <v>6.4240000000000004</v>
      </c>
      <c r="H952" s="95"/>
      <c r="I952" s="95"/>
      <c r="J952" s="95"/>
      <c r="K952" s="95"/>
      <c r="L952" s="95"/>
      <c r="M952" s="95"/>
      <c r="N952" s="95"/>
      <c r="O952" s="95"/>
      <c r="P952" s="95"/>
    </row>
    <row r="953" spans="1:76" s="81" customFormat="1" x14ac:dyDescent="0.25">
      <c r="A953" s="110"/>
      <c r="B953" s="95"/>
      <c r="C953" s="95"/>
      <c r="D953" s="76" t="s">
        <v>1051</v>
      </c>
      <c r="E953" s="76" t="s">
        <v>54</v>
      </c>
      <c r="F953" s="95"/>
      <c r="G953" s="96">
        <v>1.222</v>
      </c>
      <c r="H953" s="95"/>
      <c r="I953" s="95"/>
      <c r="J953" s="95"/>
      <c r="K953" s="95"/>
      <c r="L953" s="95"/>
      <c r="M953" s="95"/>
      <c r="N953" s="95"/>
      <c r="O953" s="95"/>
      <c r="P953" s="95"/>
    </row>
    <row r="954" spans="1:76" s="81" customFormat="1" x14ac:dyDescent="0.25">
      <c r="A954" s="66" t="s">
        <v>1052</v>
      </c>
      <c r="B954" s="72" t="s">
        <v>55</v>
      </c>
      <c r="C954" s="72" t="s">
        <v>1053</v>
      </c>
      <c r="D954" s="174" t="s">
        <v>1054</v>
      </c>
      <c r="E954" s="174"/>
      <c r="F954" s="72" t="s">
        <v>192</v>
      </c>
      <c r="G954" s="90">
        <v>9.8855000000000004</v>
      </c>
      <c r="H954" s="91"/>
      <c r="I954" s="92" t="s">
        <v>63</v>
      </c>
      <c r="J954" s="90">
        <f>G954*AO954</f>
        <v>0</v>
      </c>
      <c r="K954" s="90">
        <f>G954*AP954</f>
        <v>0</v>
      </c>
      <c r="L954" s="90">
        <f>G954*H954</f>
        <v>0</v>
      </c>
      <c r="M954" s="90">
        <f>L954*(1+BW954/100)</f>
        <v>0</v>
      </c>
      <c r="N954" s="90">
        <v>1.3480000000000001E-2</v>
      </c>
      <c r="O954" s="90">
        <f>G954*N954</f>
        <v>0.13325654000000001</v>
      </c>
      <c r="P954" s="92" t="s">
        <v>64</v>
      </c>
      <c r="Z954" s="93">
        <f>IF(AQ954="5",BJ954,0)</f>
        <v>0</v>
      </c>
      <c r="AB954" s="93">
        <f>IF(AQ954="1",BH954,0)</f>
        <v>0</v>
      </c>
      <c r="AC954" s="93">
        <f>IF(AQ954="1",BI954,0)</f>
        <v>0</v>
      </c>
      <c r="AD954" s="93">
        <f>IF(AQ954="7",BH954,0)</f>
        <v>0</v>
      </c>
      <c r="AE954" s="93">
        <f>IF(AQ954="7",BI954,0)</f>
        <v>0</v>
      </c>
      <c r="AF954" s="93">
        <f>IF(AQ954="2",BH954,0)</f>
        <v>0</v>
      </c>
      <c r="AG954" s="93">
        <f>IF(AQ954="2",BI954,0)</f>
        <v>0</v>
      </c>
      <c r="AH954" s="93">
        <f>IF(AQ954="0",BJ954,0)</f>
        <v>0</v>
      </c>
      <c r="AI954" s="88" t="s">
        <v>55</v>
      </c>
      <c r="AJ954" s="93">
        <f>IF(AN954=0,L954,0)</f>
        <v>0</v>
      </c>
      <c r="AK954" s="93">
        <f>IF(AN954=12,L954,0)</f>
        <v>0</v>
      </c>
      <c r="AL954" s="93">
        <f>IF(AN954=21,L954,0)</f>
        <v>0</v>
      </c>
      <c r="AN954" s="93">
        <v>21</v>
      </c>
      <c r="AO954" s="93">
        <f>H954*0.526592909</f>
        <v>0</v>
      </c>
      <c r="AP954" s="93">
        <f>H954*(1-0.526592909)</f>
        <v>0</v>
      </c>
      <c r="AQ954" s="94" t="s">
        <v>59</v>
      </c>
      <c r="AV954" s="93">
        <f>AW954+AX954</f>
        <v>0</v>
      </c>
      <c r="AW954" s="93">
        <f>G954*AO954</f>
        <v>0</v>
      </c>
      <c r="AX954" s="93">
        <f>G954*AP954</f>
        <v>0</v>
      </c>
      <c r="AY954" s="94" t="s">
        <v>971</v>
      </c>
      <c r="AZ954" s="94" t="s">
        <v>871</v>
      </c>
      <c r="BA954" s="88" t="s">
        <v>67</v>
      </c>
      <c r="BC954" s="93">
        <f>AW954+AX954</f>
        <v>0</v>
      </c>
      <c r="BD954" s="93">
        <f>H954/(100-BE954)*100</f>
        <v>0</v>
      </c>
      <c r="BE954" s="93">
        <v>0</v>
      </c>
      <c r="BF954" s="93">
        <f>O954</f>
        <v>0.13325654000000001</v>
      </c>
      <c r="BH954" s="93">
        <f>G954*AO954</f>
        <v>0</v>
      </c>
      <c r="BI954" s="93">
        <f>G954*AP954</f>
        <v>0</v>
      </c>
      <c r="BJ954" s="93">
        <f>G954*H954</f>
        <v>0</v>
      </c>
      <c r="BK954" s="93"/>
      <c r="BL954" s="93">
        <v>62</v>
      </c>
      <c r="BW954" s="93" t="str">
        <f>I954</f>
        <v>21</v>
      </c>
      <c r="BX954" s="2" t="s">
        <v>1054</v>
      </c>
    </row>
    <row r="955" spans="1:76" s="81" customFormat="1" ht="13.5" customHeight="1" x14ac:dyDescent="0.25">
      <c r="A955" s="110"/>
      <c r="B955" s="95"/>
      <c r="C955" s="95"/>
      <c r="D955" s="179" t="s">
        <v>972</v>
      </c>
      <c r="E955" s="179"/>
      <c r="F955" s="179"/>
      <c r="G955" s="179"/>
      <c r="H955" s="179"/>
      <c r="I955" s="179"/>
      <c r="J955" s="179"/>
      <c r="K955" s="179"/>
      <c r="L955" s="179"/>
      <c r="M955" s="179"/>
      <c r="N955" s="179"/>
      <c r="O955" s="179"/>
      <c r="P955" s="179"/>
    </row>
    <row r="956" spans="1:76" s="81" customFormat="1" x14ac:dyDescent="0.25">
      <c r="A956" s="110"/>
      <c r="B956" s="95"/>
      <c r="C956" s="95"/>
      <c r="D956" s="76" t="s">
        <v>54</v>
      </c>
      <c r="E956" s="76" t="s">
        <v>948</v>
      </c>
      <c r="F956" s="95"/>
      <c r="G956" s="96">
        <v>0</v>
      </c>
      <c r="H956" s="95"/>
      <c r="I956" s="95"/>
      <c r="J956" s="95"/>
      <c r="K956" s="95"/>
      <c r="L956" s="95"/>
      <c r="M956" s="95"/>
      <c r="N956" s="95"/>
      <c r="O956" s="95"/>
      <c r="P956" s="95"/>
    </row>
    <row r="957" spans="1:76" s="81" customFormat="1" x14ac:dyDescent="0.25">
      <c r="A957" s="110"/>
      <c r="B957" s="95"/>
      <c r="C957" s="95"/>
      <c r="D957" s="76" t="s">
        <v>1055</v>
      </c>
      <c r="E957" s="76" t="s">
        <v>54</v>
      </c>
      <c r="F957" s="95"/>
      <c r="G957" s="96">
        <v>9.8855000000000004</v>
      </c>
      <c r="H957" s="95"/>
      <c r="I957" s="95"/>
      <c r="J957" s="95"/>
      <c r="K957" s="95"/>
      <c r="L957" s="95"/>
      <c r="M957" s="95"/>
      <c r="N957" s="95"/>
      <c r="O957" s="95"/>
      <c r="P957" s="95"/>
    </row>
    <row r="958" spans="1:76" s="81" customFormat="1" x14ac:dyDescent="0.25">
      <c r="A958" s="66" t="s">
        <v>1056</v>
      </c>
      <c r="B958" s="72" t="s">
        <v>55</v>
      </c>
      <c r="C958" s="72" t="s">
        <v>1057</v>
      </c>
      <c r="D958" s="174" t="s">
        <v>1058</v>
      </c>
      <c r="E958" s="174"/>
      <c r="F958" s="72" t="s">
        <v>192</v>
      </c>
      <c r="G958" s="90">
        <v>27.276700000000002</v>
      </c>
      <c r="H958" s="91"/>
      <c r="I958" s="92" t="s">
        <v>63</v>
      </c>
      <c r="J958" s="90">
        <f>G958*AO958</f>
        <v>0</v>
      </c>
      <c r="K958" s="90">
        <f>G958*AP958</f>
        <v>0</v>
      </c>
      <c r="L958" s="90">
        <f>G958*H958</f>
        <v>0</v>
      </c>
      <c r="M958" s="90">
        <f>L958*(1+BW958/100)</f>
        <v>0</v>
      </c>
      <c r="N958" s="90">
        <v>1.423E-2</v>
      </c>
      <c r="O958" s="90">
        <f>G958*N958</f>
        <v>0.38814744100000004</v>
      </c>
      <c r="P958" s="92" t="s">
        <v>371</v>
      </c>
      <c r="Z958" s="93">
        <f>IF(AQ958="5",BJ958,0)</f>
        <v>0</v>
      </c>
      <c r="AB958" s="93">
        <f>IF(AQ958="1",BH958,0)</f>
        <v>0</v>
      </c>
      <c r="AC958" s="93">
        <f>IF(AQ958="1",BI958,0)</f>
        <v>0</v>
      </c>
      <c r="AD958" s="93">
        <f>IF(AQ958="7",BH958,0)</f>
        <v>0</v>
      </c>
      <c r="AE958" s="93">
        <f>IF(AQ958="7",BI958,0)</f>
        <v>0</v>
      </c>
      <c r="AF958" s="93">
        <f>IF(AQ958="2",BH958,0)</f>
        <v>0</v>
      </c>
      <c r="AG958" s="93">
        <f>IF(AQ958="2",BI958,0)</f>
        <v>0</v>
      </c>
      <c r="AH958" s="93">
        <f>IF(AQ958="0",BJ958,0)</f>
        <v>0</v>
      </c>
      <c r="AI958" s="88" t="s">
        <v>55</v>
      </c>
      <c r="AJ958" s="93">
        <f>IF(AN958=0,L958,0)</f>
        <v>0</v>
      </c>
      <c r="AK958" s="93">
        <f>IF(AN958=12,L958,0)</f>
        <v>0</v>
      </c>
      <c r="AL958" s="93">
        <f>IF(AN958=21,L958,0)</f>
        <v>0</v>
      </c>
      <c r="AN958" s="93">
        <v>21</v>
      </c>
      <c r="AO958" s="93">
        <f>H958*0.566164732</f>
        <v>0</v>
      </c>
      <c r="AP958" s="93">
        <f>H958*(1-0.566164732)</f>
        <v>0</v>
      </c>
      <c r="AQ958" s="94" t="s">
        <v>59</v>
      </c>
      <c r="AV958" s="93">
        <f>AW958+AX958</f>
        <v>0</v>
      </c>
      <c r="AW958" s="93">
        <f>G958*AO958</f>
        <v>0</v>
      </c>
      <c r="AX958" s="93">
        <f>G958*AP958</f>
        <v>0</v>
      </c>
      <c r="AY958" s="94" t="s">
        <v>971</v>
      </c>
      <c r="AZ958" s="94" t="s">
        <v>871</v>
      </c>
      <c r="BA958" s="88" t="s">
        <v>67</v>
      </c>
      <c r="BC958" s="93">
        <f>AW958+AX958</f>
        <v>0</v>
      </c>
      <c r="BD958" s="93">
        <f>H958/(100-BE958)*100</f>
        <v>0</v>
      </c>
      <c r="BE958" s="93">
        <v>0</v>
      </c>
      <c r="BF958" s="93">
        <f>O958</f>
        <v>0.38814744100000004</v>
      </c>
      <c r="BH958" s="93">
        <f>G958*AO958</f>
        <v>0</v>
      </c>
      <c r="BI958" s="93">
        <f>G958*AP958</f>
        <v>0</v>
      </c>
      <c r="BJ958" s="93">
        <f>G958*H958</f>
        <v>0</v>
      </c>
      <c r="BK958" s="93"/>
      <c r="BL958" s="93">
        <v>62</v>
      </c>
      <c r="BW958" s="93" t="str">
        <f>I958</f>
        <v>21</v>
      </c>
      <c r="BX958" s="2" t="s">
        <v>1058</v>
      </c>
    </row>
    <row r="959" spans="1:76" s="81" customFormat="1" ht="13.5" customHeight="1" x14ac:dyDescent="0.25">
      <c r="A959" s="110"/>
      <c r="B959" s="95"/>
      <c r="C959" s="95"/>
      <c r="D959" s="179" t="s">
        <v>972</v>
      </c>
      <c r="E959" s="179"/>
      <c r="F959" s="179"/>
      <c r="G959" s="179"/>
      <c r="H959" s="179"/>
      <c r="I959" s="179"/>
      <c r="J959" s="179"/>
      <c r="K959" s="179"/>
      <c r="L959" s="179"/>
      <c r="M959" s="179"/>
      <c r="N959" s="179"/>
      <c r="O959" s="179"/>
      <c r="P959" s="179"/>
    </row>
    <row r="960" spans="1:76" s="81" customFormat="1" x14ac:dyDescent="0.25">
      <c r="A960" s="110"/>
      <c r="B960" s="95"/>
      <c r="C960" s="95"/>
      <c r="D960" s="76" t="s">
        <v>54</v>
      </c>
      <c r="E960" s="76" t="s">
        <v>948</v>
      </c>
      <c r="F960" s="95"/>
      <c r="G960" s="96">
        <v>0</v>
      </c>
      <c r="H960" s="95"/>
      <c r="I960" s="95"/>
      <c r="J960" s="95"/>
      <c r="K960" s="95"/>
      <c r="L960" s="95"/>
      <c r="M960" s="95"/>
      <c r="N960" s="95"/>
      <c r="O960" s="95"/>
      <c r="P960" s="95"/>
    </row>
    <row r="961" spans="1:76" s="81" customFormat="1" x14ac:dyDescent="0.25">
      <c r="A961" s="110"/>
      <c r="B961" s="95"/>
      <c r="C961" s="95"/>
      <c r="D961" s="76" t="s">
        <v>1059</v>
      </c>
      <c r="E961" s="76" t="s">
        <v>54</v>
      </c>
      <c r="F961" s="95"/>
      <c r="G961" s="96">
        <v>27.276700000000002</v>
      </c>
      <c r="H961" s="95"/>
      <c r="I961" s="95"/>
      <c r="J961" s="95"/>
      <c r="K961" s="95"/>
      <c r="L961" s="95"/>
      <c r="M961" s="95"/>
      <c r="N961" s="95"/>
      <c r="O961" s="95"/>
      <c r="P961" s="95"/>
    </row>
    <row r="962" spans="1:76" s="81" customFormat="1" x14ac:dyDescent="0.25">
      <c r="A962" s="66" t="s">
        <v>1060</v>
      </c>
      <c r="B962" s="72" t="s">
        <v>55</v>
      </c>
      <c r="C962" s="72" t="s">
        <v>1061</v>
      </c>
      <c r="D962" s="174" t="s">
        <v>1062</v>
      </c>
      <c r="E962" s="174"/>
      <c r="F962" s="72" t="s">
        <v>192</v>
      </c>
      <c r="G962" s="90">
        <v>35.350499999999997</v>
      </c>
      <c r="H962" s="91"/>
      <c r="I962" s="92" t="s">
        <v>63</v>
      </c>
      <c r="J962" s="90">
        <f>G962*AO962</f>
        <v>0</v>
      </c>
      <c r="K962" s="90">
        <f>G962*AP962</f>
        <v>0</v>
      </c>
      <c r="L962" s="90">
        <f>G962*H962</f>
        <v>0</v>
      </c>
      <c r="M962" s="90">
        <f>L962*(1+BW962/100)</f>
        <v>0</v>
      </c>
      <c r="N962" s="90">
        <v>2.0840000000000001E-2</v>
      </c>
      <c r="O962" s="90">
        <f>G962*N962</f>
        <v>0.73670441999999992</v>
      </c>
      <c r="P962" s="92" t="s">
        <v>64</v>
      </c>
      <c r="Z962" s="93">
        <f>IF(AQ962="5",BJ962,0)</f>
        <v>0</v>
      </c>
      <c r="AB962" s="93">
        <f>IF(AQ962="1",BH962,0)</f>
        <v>0</v>
      </c>
      <c r="AC962" s="93">
        <f>IF(AQ962="1",BI962,0)</f>
        <v>0</v>
      </c>
      <c r="AD962" s="93">
        <f>IF(AQ962="7",BH962,0)</f>
        <v>0</v>
      </c>
      <c r="AE962" s="93">
        <f>IF(AQ962="7",BI962,0)</f>
        <v>0</v>
      </c>
      <c r="AF962" s="93">
        <f>IF(AQ962="2",BH962,0)</f>
        <v>0</v>
      </c>
      <c r="AG962" s="93">
        <f>IF(AQ962="2",BI962,0)</f>
        <v>0</v>
      </c>
      <c r="AH962" s="93">
        <f>IF(AQ962="0",BJ962,0)</f>
        <v>0</v>
      </c>
      <c r="AI962" s="88" t="s">
        <v>55</v>
      </c>
      <c r="AJ962" s="93">
        <f>IF(AN962=0,L962,0)</f>
        <v>0</v>
      </c>
      <c r="AK962" s="93">
        <f>IF(AN962=12,L962,0)</f>
        <v>0</v>
      </c>
      <c r="AL962" s="93">
        <f>IF(AN962=21,L962,0)</f>
        <v>0</v>
      </c>
      <c r="AN962" s="93">
        <v>21</v>
      </c>
      <c r="AO962" s="93">
        <f>H962*0.787394578</f>
        <v>0</v>
      </c>
      <c r="AP962" s="93">
        <f>H962*(1-0.787394578)</f>
        <v>0</v>
      </c>
      <c r="AQ962" s="94" t="s">
        <v>59</v>
      </c>
      <c r="AV962" s="93">
        <f>AW962+AX962</f>
        <v>0</v>
      </c>
      <c r="AW962" s="93">
        <f>G962*AO962</f>
        <v>0</v>
      </c>
      <c r="AX962" s="93">
        <f>G962*AP962</f>
        <v>0</v>
      </c>
      <c r="AY962" s="94" t="s">
        <v>971</v>
      </c>
      <c r="AZ962" s="94" t="s">
        <v>871</v>
      </c>
      <c r="BA962" s="88" t="s">
        <v>67</v>
      </c>
      <c r="BC962" s="93">
        <f>AW962+AX962</f>
        <v>0</v>
      </c>
      <c r="BD962" s="93">
        <f>H962/(100-BE962)*100</f>
        <v>0</v>
      </c>
      <c r="BE962" s="93">
        <v>0</v>
      </c>
      <c r="BF962" s="93">
        <f>O962</f>
        <v>0.73670441999999992</v>
      </c>
      <c r="BH962" s="93">
        <f>G962*AO962</f>
        <v>0</v>
      </c>
      <c r="BI962" s="93">
        <f>G962*AP962</f>
        <v>0</v>
      </c>
      <c r="BJ962" s="93">
        <f>G962*H962</f>
        <v>0</v>
      </c>
      <c r="BK962" s="93"/>
      <c r="BL962" s="93">
        <v>62</v>
      </c>
      <c r="BW962" s="93" t="str">
        <f>I962</f>
        <v>21</v>
      </c>
      <c r="BX962" s="2" t="s">
        <v>1062</v>
      </c>
    </row>
    <row r="963" spans="1:76" s="81" customFormat="1" ht="13.5" customHeight="1" x14ac:dyDescent="0.25">
      <c r="A963" s="110"/>
      <c r="B963" s="95"/>
      <c r="C963" s="95"/>
      <c r="D963" s="179" t="s">
        <v>972</v>
      </c>
      <c r="E963" s="179"/>
      <c r="F963" s="179"/>
      <c r="G963" s="179"/>
      <c r="H963" s="179"/>
      <c r="I963" s="179"/>
      <c r="J963" s="179"/>
      <c r="K963" s="179"/>
      <c r="L963" s="179"/>
      <c r="M963" s="179"/>
      <c r="N963" s="179"/>
      <c r="O963" s="179"/>
      <c r="P963" s="179"/>
    </row>
    <row r="964" spans="1:76" s="81" customFormat="1" x14ac:dyDescent="0.25">
      <c r="A964" s="110"/>
      <c r="B964" s="95"/>
      <c r="C964" s="95"/>
      <c r="D964" s="76" t="s">
        <v>54</v>
      </c>
      <c r="E964" s="76" t="s">
        <v>948</v>
      </c>
      <c r="F964" s="95"/>
      <c r="G964" s="96">
        <v>0</v>
      </c>
      <c r="H964" s="95"/>
      <c r="I964" s="95"/>
      <c r="J964" s="95"/>
      <c r="K964" s="95"/>
      <c r="L964" s="95"/>
      <c r="M964" s="95"/>
      <c r="N964" s="95"/>
      <c r="O964" s="95"/>
      <c r="P964" s="95"/>
    </row>
    <row r="965" spans="1:76" s="81" customFormat="1" x14ac:dyDescent="0.25">
      <c r="A965" s="110"/>
      <c r="B965" s="95"/>
      <c r="C965" s="95"/>
      <c r="D965" s="76" t="s">
        <v>1063</v>
      </c>
      <c r="E965" s="76" t="s">
        <v>54</v>
      </c>
      <c r="F965" s="95"/>
      <c r="G965" s="96">
        <v>35.350499999999997</v>
      </c>
      <c r="H965" s="95"/>
      <c r="I965" s="95"/>
      <c r="J965" s="95"/>
      <c r="K965" s="95"/>
      <c r="L965" s="95"/>
      <c r="M965" s="95"/>
      <c r="N965" s="95"/>
      <c r="O965" s="95"/>
      <c r="P965" s="95"/>
    </row>
    <row r="966" spans="1:76" s="81" customFormat="1" x14ac:dyDescent="0.25">
      <c r="A966" s="66" t="s">
        <v>1064</v>
      </c>
      <c r="B966" s="72" t="s">
        <v>55</v>
      </c>
      <c r="C966" s="72" t="s">
        <v>1065</v>
      </c>
      <c r="D966" s="174" t="s">
        <v>1066</v>
      </c>
      <c r="E966" s="174"/>
      <c r="F966" s="72" t="s">
        <v>192</v>
      </c>
      <c r="G966" s="90">
        <v>42.198340000000002</v>
      </c>
      <c r="H966" s="91"/>
      <c r="I966" s="92" t="s">
        <v>63</v>
      </c>
      <c r="J966" s="90">
        <f>G966*AO966</f>
        <v>0</v>
      </c>
      <c r="K966" s="90">
        <f>G966*AP966</f>
        <v>0</v>
      </c>
      <c r="L966" s="90">
        <f>G966*H966</f>
        <v>0</v>
      </c>
      <c r="M966" s="90">
        <f>L966*(1+BW966/100)</f>
        <v>0</v>
      </c>
      <c r="N966" s="90">
        <v>1.933E-2</v>
      </c>
      <c r="O966" s="90">
        <f>G966*N966</f>
        <v>0.81569391219999998</v>
      </c>
      <c r="P966" s="92" t="s">
        <v>64</v>
      </c>
      <c r="Z966" s="93">
        <f>IF(AQ966="5",BJ966,0)</f>
        <v>0</v>
      </c>
      <c r="AB966" s="93">
        <f>IF(AQ966="1",BH966,0)</f>
        <v>0</v>
      </c>
      <c r="AC966" s="93">
        <f>IF(AQ966="1",BI966,0)</f>
        <v>0</v>
      </c>
      <c r="AD966" s="93">
        <f>IF(AQ966="7",BH966,0)</f>
        <v>0</v>
      </c>
      <c r="AE966" s="93">
        <f>IF(AQ966="7",BI966,0)</f>
        <v>0</v>
      </c>
      <c r="AF966" s="93">
        <f>IF(AQ966="2",BH966,0)</f>
        <v>0</v>
      </c>
      <c r="AG966" s="93">
        <f>IF(AQ966="2",BI966,0)</f>
        <v>0</v>
      </c>
      <c r="AH966" s="93">
        <f>IF(AQ966="0",BJ966,0)</f>
        <v>0</v>
      </c>
      <c r="AI966" s="88" t="s">
        <v>55</v>
      </c>
      <c r="AJ966" s="93">
        <f>IF(AN966=0,L966,0)</f>
        <v>0</v>
      </c>
      <c r="AK966" s="93">
        <f>IF(AN966=12,L966,0)</f>
        <v>0</v>
      </c>
      <c r="AL966" s="93">
        <f>IF(AN966=21,L966,0)</f>
        <v>0</v>
      </c>
      <c r="AN966" s="93">
        <v>21</v>
      </c>
      <c r="AO966" s="93">
        <f>H966*0.729040279</f>
        <v>0</v>
      </c>
      <c r="AP966" s="93">
        <f>H966*(1-0.729040279)</f>
        <v>0</v>
      </c>
      <c r="AQ966" s="94" t="s">
        <v>59</v>
      </c>
      <c r="AV966" s="93">
        <f>AW966+AX966</f>
        <v>0</v>
      </c>
      <c r="AW966" s="93">
        <f>G966*AO966</f>
        <v>0</v>
      </c>
      <c r="AX966" s="93">
        <f>G966*AP966</f>
        <v>0</v>
      </c>
      <c r="AY966" s="94" t="s">
        <v>971</v>
      </c>
      <c r="AZ966" s="94" t="s">
        <v>871</v>
      </c>
      <c r="BA966" s="88" t="s">
        <v>67</v>
      </c>
      <c r="BC966" s="93">
        <f>AW966+AX966</f>
        <v>0</v>
      </c>
      <c r="BD966" s="93">
        <f>H966/(100-BE966)*100</f>
        <v>0</v>
      </c>
      <c r="BE966" s="93">
        <v>0</v>
      </c>
      <c r="BF966" s="93">
        <f>O966</f>
        <v>0.81569391219999998</v>
      </c>
      <c r="BH966" s="93">
        <f>G966*AO966</f>
        <v>0</v>
      </c>
      <c r="BI966" s="93">
        <f>G966*AP966</f>
        <v>0</v>
      </c>
      <c r="BJ966" s="93">
        <f>G966*H966</f>
        <v>0</v>
      </c>
      <c r="BK966" s="93"/>
      <c r="BL966" s="93">
        <v>62</v>
      </c>
      <c r="BW966" s="93" t="str">
        <f>I966</f>
        <v>21</v>
      </c>
      <c r="BX966" s="2" t="s">
        <v>1066</v>
      </c>
    </row>
    <row r="967" spans="1:76" s="81" customFormat="1" ht="13.5" customHeight="1" x14ac:dyDescent="0.25">
      <c r="A967" s="110"/>
      <c r="B967" s="95"/>
      <c r="C967" s="95"/>
      <c r="D967" s="179" t="s">
        <v>972</v>
      </c>
      <c r="E967" s="179"/>
      <c r="F967" s="179"/>
      <c r="G967" s="179"/>
      <c r="H967" s="179"/>
      <c r="I967" s="179"/>
      <c r="J967" s="179"/>
      <c r="K967" s="179"/>
      <c r="L967" s="179"/>
      <c r="M967" s="179"/>
      <c r="N967" s="179"/>
      <c r="O967" s="179"/>
      <c r="P967" s="179"/>
    </row>
    <row r="968" spans="1:76" s="81" customFormat="1" x14ac:dyDescent="0.25">
      <c r="A968" s="110"/>
      <c r="B968" s="95"/>
      <c r="C968" s="95"/>
      <c r="D968" s="76" t="s">
        <v>54</v>
      </c>
      <c r="E968" s="76" t="s">
        <v>948</v>
      </c>
      <c r="F968" s="95"/>
      <c r="G968" s="96">
        <v>0</v>
      </c>
      <c r="H968" s="95"/>
      <c r="I968" s="95"/>
      <c r="J968" s="95"/>
      <c r="K968" s="95"/>
      <c r="L968" s="95"/>
      <c r="M968" s="95"/>
      <c r="N968" s="95"/>
      <c r="O968" s="95"/>
      <c r="P968" s="95"/>
    </row>
    <row r="969" spans="1:76" s="81" customFormat="1" x14ac:dyDescent="0.25">
      <c r="A969" s="110"/>
      <c r="B969" s="95"/>
      <c r="C969" s="95"/>
      <c r="D969" s="76" t="s">
        <v>1067</v>
      </c>
      <c r="E969" s="76" t="s">
        <v>54</v>
      </c>
      <c r="F969" s="95"/>
      <c r="G969" s="96">
        <v>42.198340000000002</v>
      </c>
      <c r="H969" s="95"/>
      <c r="I969" s="95"/>
      <c r="J969" s="95"/>
      <c r="K969" s="95"/>
      <c r="L969" s="95"/>
      <c r="M969" s="95"/>
      <c r="N969" s="95"/>
      <c r="O969" s="95"/>
      <c r="P969" s="95"/>
    </row>
    <row r="970" spans="1:76" s="81" customFormat="1" x14ac:dyDescent="0.25">
      <c r="A970" s="66" t="s">
        <v>1068</v>
      </c>
      <c r="B970" s="72" t="s">
        <v>55</v>
      </c>
      <c r="C970" s="72" t="s">
        <v>1069</v>
      </c>
      <c r="D970" s="174" t="s">
        <v>1070</v>
      </c>
      <c r="E970" s="174"/>
      <c r="F970" s="72" t="s">
        <v>192</v>
      </c>
      <c r="G970" s="90">
        <v>7.3859399999999997</v>
      </c>
      <c r="H970" s="91"/>
      <c r="I970" s="92" t="s">
        <v>63</v>
      </c>
      <c r="J970" s="90">
        <f>G970*AO970</f>
        <v>0</v>
      </c>
      <c r="K970" s="90">
        <f>G970*AP970</f>
        <v>0</v>
      </c>
      <c r="L970" s="90">
        <f>G970*H970</f>
        <v>0</v>
      </c>
      <c r="M970" s="90">
        <f>L970*(1+BW970/100)</f>
        <v>0</v>
      </c>
      <c r="N970" s="90">
        <v>2.0410000000000001E-2</v>
      </c>
      <c r="O970" s="90">
        <f>G970*N970</f>
        <v>0.15074703540000001</v>
      </c>
      <c r="P970" s="92" t="s">
        <v>64</v>
      </c>
      <c r="Z970" s="93">
        <f>IF(AQ970="5",BJ970,0)</f>
        <v>0</v>
      </c>
      <c r="AB970" s="93">
        <f>IF(AQ970="1",BH970,0)</f>
        <v>0</v>
      </c>
      <c r="AC970" s="93">
        <f>IF(AQ970="1",BI970,0)</f>
        <v>0</v>
      </c>
      <c r="AD970" s="93">
        <f>IF(AQ970="7",BH970,0)</f>
        <v>0</v>
      </c>
      <c r="AE970" s="93">
        <f>IF(AQ970="7",BI970,0)</f>
        <v>0</v>
      </c>
      <c r="AF970" s="93">
        <f>IF(AQ970="2",BH970,0)</f>
        <v>0</v>
      </c>
      <c r="AG970" s="93">
        <f>IF(AQ970="2",BI970,0)</f>
        <v>0</v>
      </c>
      <c r="AH970" s="93">
        <f>IF(AQ970="0",BJ970,0)</f>
        <v>0</v>
      </c>
      <c r="AI970" s="88" t="s">
        <v>55</v>
      </c>
      <c r="AJ970" s="93">
        <f>IF(AN970=0,L970,0)</f>
        <v>0</v>
      </c>
      <c r="AK970" s="93">
        <f>IF(AN970=12,L970,0)</f>
        <v>0</v>
      </c>
      <c r="AL970" s="93">
        <f>IF(AN970=21,L970,0)</f>
        <v>0</v>
      </c>
      <c r="AN970" s="93">
        <v>21</v>
      </c>
      <c r="AO970" s="93">
        <f>H970*0.531037866</f>
        <v>0</v>
      </c>
      <c r="AP970" s="93">
        <f>H970*(1-0.531037866)</f>
        <v>0</v>
      </c>
      <c r="AQ970" s="94" t="s">
        <v>59</v>
      </c>
      <c r="AV970" s="93">
        <f>AW970+AX970</f>
        <v>0</v>
      </c>
      <c r="AW970" s="93">
        <f>G970*AO970</f>
        <v>0</v>
      </c>
      <c r="AX970" s="93">
        <f>G970*AP970</f>
        <v>0</v>
      </c>
      <c r="AY970" s="94" t="s">
        <v>971</v>
      </c>
      <c r="AZ970" s="94" t="s">
        <v>871</v>
      </c>
      <c r="BA970" s="88" t="s">
        <v>67</v>
      </c>
      <c r="BC970" s="93">
        <f>AW970+AX970</f>
        <v>0</v>
      </c>
      <c r="BD970" s="93">
        <f>H970/(100-BE970)*100</f>
        <v>0</v>
      </c>
      <c r="BE970" s="93">
        <v>0</v>
      </c>
      <c r="BF970" s="93">
        <f>O970</f>
        <v>0.15074703540000001</v>
      </c>
      <c r="BH970" s="93">
        <f>G970*AO970</f>
        <v>0</v>
      </c>
      <c r="BI970" s="93">
        <f>G970*AP970</f>
        <v>0</v>
      </c>
      <c r="BJ970" s="93">
        <f>G970*H970</f>
        <v>0</v>
      </c>
      <c r="BK970" s="93"/>
      <c r="BL970" s="93">
        <v>62</v>
      </c>
      <c r="BW970" s="93" t="str">
        <f>I970</f>
        <v>21</v>
      </c>
      <c r="BX970" s="2" t="s">
        <v>1070</v>
      </c>
    </row>
    <row r="971" spans="1:76" s="81" customFormat="1" ht="13.5" customHeight="1" x14ac:dyDescent="0.25">
      <c r="A971" s="110"/>
      <c r="B971" s="95"/>
      <c r="C971" s="95"/>
      <c r="D971" s="179" t="s">
        <v>972</v>
      </c>
      <c r="E971" s="179"/>
      <c r="F971" s="179"/>
      <c r="G971" s="179"/>
      <c r="H971" s="179"/>
      <c r="I971" s="179"/>
      <c r="J971" s="179"/>
      <c r="K971" s="179"/>
      <c r="L971" s="179"/>
      <c r="M971" s="179"/>
      <c r="N971" s="179"/>
      <c r="O971" s="179"/>
      <c r="P971" s="179"/>
    </row>
    <row r="972" spans="1:76" s="81" customFormat="1" x14ac:dyDescent="0.25">
      <c r="A972" s="110"/>
      <c r="B972" s="95"/>
      <c r="C972" s="95"/>
      <c r="D972" s="76" t="s">
        <v>54</v>
      </c>
      <c r="E972" s="76" t="s">
        <v>948</v>
      </c>
      <c r="F972" s="95"/>
      <c r="G972" s="96">
        <v>0</v>
      </c>
      <c r="H972" s="95"/>
      <c r="I972" s="95"/>
      <c r="J972" s="95"/>
      <c r="K972" s="95"/>
      <c r="L972" s="95"/>
      <c r="M972" s="95"/>
      <c r="N972" s="95"/>
      <c r="O972" s="95"/>
      <c r="P972" s="95"/>
    </row>
    <row r="973" spans="1:76" s="81" customFormat="1" x14ac:dyDescent="0.25">
      <c r="A973" s="110"/>
      <c r="B973" s="95"/>
      <c r="C973" s="95"/>
      <c r="D973" s="76" t="s">
        <v>1071</v>
      </c>
      <c r="E973" s="76" t="s">
        <v>54</v>
      </c>
      <c r="F973" s="95"/>
      <c r="G973" s="96">
        <v>1.93554</v>
      </c>
      <c r="H973" s="95"/>
      <c r="I973" s="95"/>
      <c r="J973" s="95"/>
      <c r="K973" s="95"/>
      <c r="L973" s="95"/>
      <c r="M973" s="95"/>
      <c r="N973" s="95"/>
      <c r="O973" s="95"/>
      <c r="P973" s="95"/>
    </row>
    <row r="974" spans="1:76" s="81" customFormat="1" x14ac:dyDescent="0.25">
      <c r="A974" s="110"/>
      <c r="B974" s="95"/>
      <c r="C974" s="95"/>
      <c r="D974" s="76" t="s">
        <v>1072</v>
      </c>
      <c r="E974" s="76" t="s">
        <v>54</v>
      </c>
      <c r="F974" s="95"/>
      <c r="G974" s="96">
        <v>5.4504000000000001</v>
      </c>
      <c r="H974" s="95"/>
      <c r="I974" s="95"/>
      <c r="J974" s="95"/>
      <c r="K974" s="95"/>
      <c r="L974" s="95"/>
      <c r="M974" s="95"/>
      <c r="N974" s="95"/>
      <c r="O974" s="95"/>
      <c r="P974" s="95"/>
    </row>
    <row r="975" spans="1:76" s="81" customFormat="1" x14ac:dyDescent="0.25">
      <c r="A975" s="66" t="s">
        <v>1073</v>
      </c>
      <c r="B975" s="72" t="s">
        <v>55</v>
      </c>
      <c r="C975" s="72" t="s">
        <v>1074</v>
      </c>
      <c r="D975" s="174" t="s">
        <v>1070</v>
      </c>
      <c r="E975" s="174"/>
      <c r="F975" s="72" t="s">
        <v>192</v>
      </c>
      <c r="G975" s="90">
        <v>5.1004500000000004</v>
      </c>
      <c r="H975" s="91"/>
      <c r="I975" s="92" t="s">
        <v>63</v>
      </c>
      <c r="J975" s="90">
        <f>G975*AO975</f>
        <v>0</v>
      </c>
      <c r="K975" s="90">
        <f>G975*AP975</f>
        <v>0</v>
      </c>
      <c r="L975" s="90">
        <f>G975*H975</f>
        <v>0</v>
      </c>
      <c r="M975" s="90">
        <f>L975*(1+BW975/100)</f>
        <v>0</v>
      </c>
      <c r="N975" s="90">
        <v>2.0410000000000001E-2</v>
      </c>
      <c r="O975" s="90">
        <f>G975*N975</f>
        <v>0.10410018450000001</v>
      </c>
      <c r="P975" s="92" t="s">
        <v>371</v>
      </c>
      <c r="Z975" s="93">
        <f>IF(AQ975="5",BJ975,0)</f>
        <v>0</v>
      </c>
      <c r="AB975" s="93">
        <f>IF(AQ975="1",BH975,0)</f>
        <v>0</v>
      </c>
      <c r="AC975" s="93">
        <f>IF(AQ975="1",BI975,0)</f>
        <v>0</v>
      </c>
      <c r="AD975" s="93">
        <f>IF(AQ975="7",BH975,0)</f>
        <v>0</v>
      </c>
      <c r="AE975" s="93">
        <f>IF(AQ975="7",BI975,0)</f>
        <v>0</v>
      </c>
      <c r="AF975" s="93">
        <f>IF(AQ975="2",BH975,0)</f>
        <v>0</v>
      </c>
      <c r="AG975" s="93">
        <f>IF(AQ975="2",BI975,0)</f>
        <v>0</v>
      </c>
      <c r="AH975" s="93">
        <f>IF(AQ975="0",BJ975,0)</f>
        <v>0</v>
      </c>
      <c r="AI975" s="88" t="s">
        <v>55</v>
      </c>
      <c r="AJ975" s="93">
        <f>IF(AN975=0,L975,0)</f>
        <v>0</v>
      </c>
      <c r="AK975" s="93">
        <f>IF(AN975=12,L975,0)</f>
        <v>0</v>
      </c>
      <c r="AL975" s="93">
        <f>IF(AN975=21,L975,0)</f>
        <v>0</v>
      </c>
      <c r="AN975" s="93">
        <v>21</v>
      </c>
      <c r="AO975" s="93">
        <f>H975*0.619521169</f>
        <v>0</v>
      </c>
      <c r="AP975" s="93">
        <f>H975*(1-0.619521169)</f>
        <v>0</v>
      </c>
      <c r="AQ975" s="94" t="s">
        <v>59</v>
      </c>
      <c r="AV975" s="93">
        <f>AW975+AX975</f>
        <v>0</v>
      </c>
      <c r="AW975" s="93">
        <f>G975*AO975</f>
        <v>0</v>
      </c>
      <c r="AX975" s="93">
        <f>G975*AP975</f>
        <v>0</v>
      </c>
      <c r="AY975" s="94" t="s">
        <v>971</v>
      </c>
      <c r="AZ975" s="94" t="s">
        <v>871</v>
      </c>
      <c r="BA975" s="88" t="s">
        <v>67</v>
      </c>
      <c r="BC975" s="93">
        <f>AW975+AX975</f>
        <v>0</v>
      </c>
      <c r="BD975" s="93">
        <f>H975/(100-BE975)*100</f>
        <v>0</v>
      </c>
      <c r="BE975" s="93">
        <v>0</v>
      </c>
      <c r="BF975" s="93">
        <f>O975</f>
        <v>0.10410018450000001</v>
      </c>
      <c r="BH975" s="93">
        <f>G975*AO975</f>
        <v>0</v>
      </c>
      <c r="BI975" s="93">
        <f>G975*AP975</f>
        <v>0</v>
      </c>
      <c r="BJ975" s="93">
        <f>G975*H975</f>
        <v>0</v>
      </c>
      <c r="BK975" s="93"/>
      <c r="BL975" s="93">
        <v>62</v>
      </c>
      <c r="BW975" s="93" t="str">
        <f>I975</f>
        <v>21</v>
      </c>
      <c r="BX975" s="2" t="s">
        <v>1070</v>
      </c>
    </row>
    <row r="976" spans="1:76" s="81" customFormat="1" ht="13.5" customHeight="1" x14ac:dyDescent="0.25">
      <c r="A976" s="110"/>
      <c r="B976" s="95"/>
      <c r="C976" s="95"/>
      <c r="D976" s="179" t="s">
        <v>972</v>
      </c>
      <c r="E976" s="179"/>
      <c r="F976" s="179"/>
      <c r="G976" s="179"/>
      <c r="H976" s="179"/>
      <c r="I976" s="179"/>
      <c r="J976" s="179"/>
      <c r="K976" s="179"/>
      <c r="L976" s="179"/>
      <c r="M976" s="179"/>
      <c r="N976" s="179"/>
      <c r="O976" s="179"/>
      <c r="P976" s="179"/>
    </row>
    <row r="977" spans="1:76" s="81" customFormat="1" x14ac:dyDescent="0.25">
      <c r="A977" s="110"/>
      <c r="B977" s="95"/>
      <c r="C977" s="95"/>
      <c r="D977" s="76" t="s">
        <v>54</v>
      </c>
      <c r="E977" s="76" t="s">
        <v>948</v>
      </c>
      <c r="F977" s="95"/>
      <c r="G977" s="96">
        <v>0</v>
      </c>
      <c r="H977" s="95"/>
      <c r="I977" s="95"/>
      <c r="J977" s="95"/>
      <c r="K977" s="95"/>
      <c r="L977" s="95"/>
      <c r="M977" s="95"/>
      <c r="N977" s="95"/>
      <c r="O977" s="95"/>
      <c r="P977" s="95"/>
    </row>
    <row r="978" spans="1:76" s="81" customFormat="1" x14ac:dyDescent="0.25">
      <c r="A978" s="110"/>
      <c r="B978" s="95"/>
      <c r="C978" s="95"/>
      <c r="D978" s="76" t="s">
        <v>1075</v>
      </c>
      <c r="E978" s="76" t="s">
        <v>54</v>
      </c>
      <c r="F978" s="95"/>
      <c r="G978" s="96">
        <v>1.08595</v>
      </c>
      <c r="H978" s="95"/>
      <c r="I978" s="95"/>
      <c r="J978" s="95"/>
      <c r="K978" s="95"/>
      <c r="L978" s="95"/>
      <c r="M978" s="95"/>
      <c r="N978" s="95"/>
      <c r="O978" s="95"/>
      <c r="P978" s="95"/>
    </row>
    <row r="979" spans="1:76" s="81" customFormat="1" x14ac:dyDescent="0.25">
      <c r="A979" s="110"/>
      <c r="B979" s="95"/>
      <c r="C979" s="95"/>
      <c r="D979" s="76" t="s">
        <v>1076</v>
      </c>
      <c r="E979" s="76" t="s">
        <v>54</v>
      </c>
      <c r="F979" s="95"/>
      <c r="G979" s="96">
        <v>4.0145</v>
      </c>
      <c r="H979" s="95"/>
      <c r="I979" s="95"/>
      <c r="J979" s="95"/>
      <c r="K979" s="95"/>
      <c r="L979" s="95"/>
      <c r="M979" s="95"/>
      <c r="N979" s="95"/>
      <c r="O979" s="95"/>
      <c r="P979" s="95"/>
    </row>
    <row r="980" spans="1:76" s="81" customFormat="1" x14ac:dyDescent="0.25">
      <c r="A980" s="66" t="s">
        <v>1077</v>
      </c>
      <c r="B980" s="72" t="s">
        <v>55</v>
      </c>
      <c r="C980" s="72" t="s">
        <v>1078</v>
      </c>
      <c r="D980" s="174" t="s">
        <v>1079</v>
      </c>
      <c r="E980" s="174"/>
      <c r="F980" s="72" t="s">
        <v>192</v>
      </c>
      <c r="G980" s="90">
        <v>59.734749999999998</v>
      </c>
      <c r="H980" s="91"/>
      <c r="I980" s="92" t="s">
        <v>63</v>
      </c>
      <c r="J980" s="90">
        <f>G980*AO980</f>
        <v>0</v>
      </c>
      <c r="K980" s="90">
        <f>G980*AP980</f>
        <v>0</v>
      </c>
      <c r="L980" s="90">
        <f>G980*H980</f>
        <v>0</v>
      </c>
      <c r="M980" s="90">
        <f>L980*(1+BW980/100)</f>
        <v>0</v>
      </c>
      <c r="N980" s="90">
        <v>1.3129999999999999E-2</v>
      </c>
      <c r="O980" s="90">
        <f>G980*N980</f>
        <v>0.78431726749999997</v>
      </c>
      <c r="P980" s="92" t="s">
        <v>371</v>
      </c>
      <c r="Z980" s="93">
        <f>IF(AQ980="5",BJ980,0)</f>
        <v>0</v>
      </c>
      <c r="AB980" s="93">
        <f>IF(AQ980="1",BH980,0)</f>
        <v>0</v>
      </c>
      <c r="AC980" s="93">
        <f>IF(AQ980="1",BI980,0)</f>
        <v>0</v>
      </c>
      <c r="AD980" s="93">
        <f>IF(AQ980="7",BH980,0)</f>
        <v>0</v>
      </c>
      <c r="AE980" s="93">
        <f>IF(AQ980="7",BI980,0)</f>
        <v>0</v>
      </c>
      <c r="AF980" s="93">
        <f>IF(AQ980="2",BH980,0)</f>
        <v>0</v>
      </c>
      <c r="AG980" s="93">
        <f>IF(AQ980="2",BI980,0)</f>
        <v>0</v>
      </c>
      <c r="AH980" s="93">
        <f>IF(AQ980="0",BJ980,0)</f>
        <v>0</v>
      </c>
      <c r="AI980" s="88" t="s">
        <v>55</v>
      </c>
      <c r="AJ980" s="93">
        <f>IF(AN980=0,L980,0)</f>
        <v>0</v>
      </c>
      <c r="AK980" s="93">
        <f>IF(AN980=12,L980,0)</f>
        <v>0</v>
      </c>
      <c r="AL980" s="93">
        <f>IF(AN980=21,L980,0)</f>
        <v>0</v>
      </c>
      <c r="AN980" s="93">
        <v>21</v>
      </c>
      <c r="AO980" s="93">
        <f>H980*0.379526923</f>
        <v>0</v>
      </c>
      <c r="AP980" s="93">
        <f>H980*(1-0.379526923)</f>
        <v>0</v>
      </c>
      <c r="AQ980" s="94" t="s">
        <v>59</v>
      </c>
      <c r="AV980" s="93">
        <f>AW980+AX980</f>
        <v>0</v>
      </c>
      <c r="AW980" s="93">
        <f>G980*AO980</f>
        <v>0</v>
      </c>
      <c r="AX980" s="93">
        <f>G980*AP980</f>
        <v>0</v>
      </c>
      <c r="AY980" s="94" t="s">
        <v>971</v>
      </c>
      <c r="AZ980" s="94" t="s">
        <v>871</v>
      </c>
      <c r="BA980" s="88" t="s">
        <v>67</v>
      </c>
      <c r="BC980" s="93">
        <f>AW980+AX980</f>
        <v>0</v>
      </c>
      <c r="BD980" s="93">
        <f>H980/(100-BE980)*100</f>
        <v>0</v>
      </c>
      <c r="BE980" s="93">
        <v>0</v>
      </c>
      <c r="BF980" s="93">
        <f>O980</f>
        <v>0.78431726749999997</v>
      </c>
      <c r="BH980" s="93">
        <f>G980*AO980</f>
        <v>0</v>
      </c>
      <c r="BI980" s="93">
        <f>G980*AP980</f>
        <v>0</v>
      </c>
      <c r="BJ980" s="93">
        <f>G980*H980</f>
        <v>0</v>
      </c>
      <c r="BK980" s="93"/>
      <c r="BL980" s="93">
        <v>62</v>
      </c>
      <c r="BW980" s="93" t="str">
        <f>I980</f>
        <v>21</v>
      </c>
      <c r="BX980" s="2" t="s">
        <v>1079</v>
      </c>
    </row>
    <row r="981" spans="1:76" s="81" customFormat="1" ht="13.5" customHeight="1" x14ac:dyDescent="0.25">
      <c r="A981" s="110"/>
      <c r="B981" s="95"/>
      <c r="C981" s="95"/>
      <c r="D981" s="179" t="s">
        <v>1080</v>
      </c>
      <c r="E981" s="179"/>
      <c r="F981" s="179"/>
      <c r="G981" s="179"/>
      <c r="H981" s="179"/>
      <c r="I981" s="179"/>
      <c r="J981" s="179"/>
      <c r="K981" s="179"/>
      <c r="L981" s="179"/>
      <c r="M981" s="179"/>
      <c r="N981" s="179"/>
      <c r="O981" s="179"/>
      <c r="P981" s="179"/>
    </row>
    <row r="982" spans="1:76" s="81" customFormat="1" x14ac:dyDescent="0.25">
      <c r="A982" s="110"/>
      <c r="B982" s="95"/>
      <c r="C982" s="95"/>
      <c r="D982" s="76" t="s">
        <v>54</v>
      </c>
      <c r="E982" s="76" t="s">
        <v>948</v>
      </c>
      <c r="F982" s="95"/>
      <c r="G982" s="96">
        <v>0</v>
      </c>
      <c r="H982" s="95"/>
      <c r="I982" s="95"/>
      <c r="J982" s="95"/>
      <c r="K982" s="95"/>
      <c r="L982" s="95"/>
      <c r="M982" s="95"/>
      <c r="N982" s="95"/>
      <c r="O982" s="95"/>
      <c r="P982" s="95"/>
    </row>
    <row r="983" spans="1:76" s="81" customFormat="1" x14ac:dyDescent="0.25">
      <c r="A983" s="110"/>
      <c r="B983" s="95"/>
      <c r="C983" s="95"/>
      <c r="D983" s="76" t="s">
        <v>1081</v>
      </c>
      <c r="E983" s="76" t="s">
        <v>54</v>
      </c>
      <c r="F983" s="95"/>
      <c r="G983" s="96">
        <v>1.248</v>
      </c>
      <c r="H983" s="95"/>
      <c r="I983" s="95"/>
      <c r="J983" s="95"/>
      <c r="K983" s="95"/>
      <c r="L983" s="95"/>
      <c r="M983" s="95"/>
      <c r="N983" s="95"/>
      <c r="O983" s="95"/>
      <c r="P983" s="95"/>
    </row>
    <row r="984" spans="1:76" s="81" customFormat="1" x14ac:dyDescent="0.25">
      <c r="A984" s="110"/>
      <c r="B984" s="95"/>
      <c r="C984" s="95"/>
      <c r="D984" s="76" t="s">
        <v>1082</v>
      </c>
      <c r="E984" s="76" t="s">
        <v>54</v>
      </c>
      <c r="F984" s="95"/>
      <c r="G984" s="96">
        <v>2.5019999999999998</v>
      </c>
      <c r="H984" s="95"/>
      <c r="I984" s="95"/>
      <c r="J984" s="95"/>
      <c r="K984" s="95"/>
      <c r="L984" s="95"/>
      <c r="M984" s="95"/>
      <c r="N984" s="95"/>
      <c r="O984" s="95"/>
      <c r="P984" s="95"/>
    </row>
    <row r="985" spans="1:76" s="81" customFormat="1" x14ac:dyDescent="0.25">
      <c r="A985" s="110"/>
      <c r="B985" s="95"/>
      <c r="C985" s="95"/>
      <c r="D985" s="76" t="s">
        <v>1083</v>
      </c>
      <c r="E985" s="76" t="s">
        <v>54</v>
      </c>
      <c r="F985" s="95"/>
      <c r="G985" s="96">
        <v>3.4860000000000002</v>
      </c>
      <c r="H985" s="95"/>
      <c r="I985" s="95"/>
      <c r="J985" s="95"/>
      <c r="K985" s="95"/>
      <c r="L985" s="95"/>
      <c r="M985" s="95"/>
      <c r="N985" s="95"/>
      <c r="O985" s="95"/>
      <c r="P985" s="95"/>
    </row>
    <row r="986" spans="1:76" s="81" customFormat="1" ht="25.5" x14ac:dyDescent="0.25">
      <c r="A986" s="110"/>
      <c r="B986" s="95"/>
      <c r="C986" s="95"/>
      <c r="D986" s="76" t="s">
        <v>1084</v>
      </c>
      <c r="E986" s="76" t="s">
        <v>54</v>
      </c>
      <c r="F986" s="95"/>
      <c r="G986" s="96">
        <v>4.4599799999999998</v>
      </c>
      <c r="H986" s="95"/>
      <c r="I986" s="95"/>
      <c r="J986" s="95"/>
      <c r="K986" s="95"/>
      <c r="L986" s="95"/>
      <c r="M986" s="95"/>
      <c r="N986" s="95"/>
      <c r="O986" s="95"/>
      <c r="P986" s="95"/>
    </row>
    <row r="987" spans="1:76" s="81" customFormat="1" x14ac:dyDescent="0.25">
      <c r="A987" s="110"/>
      <c r="B987" s="95"/>
      <c r="C987" s="95"/>
      <c r="D987" s="76" t="s">
        <v>1085</v>
      </c>
      <c r="E987" s="76" t="s">
        <v>54</v>
      </c>
      <c r="F987" s="95"/>
      <c r="G987" s="96">
        <v>6.0262500000000001</v>
      </c>
      <c r="H987" s="95"/>
      <c r="I987" s="95"/>
      <c r="J987" s="95"/>
      <c r="K987" s="95"/>
      <c r="L987" s="95"/>
      <c r="M987" s="95"/>
      <c r="N987" s="95"/>
      <c r="O987" s="95"/>
      <c r="P987" s="95"/>
    </row>
    <row r="988" spans="1:76" s="81" customFormat="1" ht="25.5" x14ac:dyDescent="0.25">
      <c r="A988" s="110"/>
      <c r="B988" s="95"/>
      <c r="C988" s="95"/>
      <c r="D988" s="76" t="s">
        <v>1086</v>
      </c>
      <c r="E988" s="76" t="s">
        <v>54</v>
      </c>
      <c r="F988" s="95"/>
      <c r="G988" s="96">
        <v>4.5991</v>
      </c>
      <c r="H988" s="95"/>
      <c r="I988" s="95"/>
      <c r="J988" s="95"/>
      <c r="K988" s="95"/>
      <c r="L988" s="95"/>
      <c r="M988" s="95"/>
      <c r="N988" s="95"/>
      <c r="O988" s="95"/>
      <c r="P988" s="95"/>
    </row>
    <row r="989" spans="1:76" s="81" customFormat="1" x14ac:dyDescent="0.25">
      <c r="A989" s="110"/>
      <c r="B989" s="95"/>
      <c r="C989" s="95"/>
      <c r="D989" s="76" t="s">
        <v>1087</v>
      </c>
      <c r="E989" s="76" t="s">
        <v>54</v>
      </c>
      <c r="F989" s="95"/>
      <c r="G989" s="96">
        <v>6.6673999999999998</v>
      </c>
      <c r="H989" s="95"/>
      <c r="I989" s="95"/>
      <c r="J989" s="95"/>
      <c r="K989" s="95"/>
      <c r="L989" s="95"/>
      <c r="M989" s="95"/>
      <c r="N989" s="95"/>
      <c r="O989" s="95"/>
      <c r="P989" s="95"/>
    </row>
    <row r="990" spans="1:76" s="81" customFormat="1" ht="25.5" x14ac:dyDescent="0.25">
      <c r="A990" s="110"/>
      <c r="B990" s="95"/>
      <c r="C990" s="95"/>
      <c r="D990" s="76" t="s">
        <v>1088</v>
      </c>
      <c r="E990" s="76" t="s">
        <v>54</v>
      </c>
      <c r="F990" s="95"/>
      <c r="G990" s="96">
        <v>24.12677</v>
      </c>
      <c r="H990" s="95"/>
      <c r="I990" s="95"/>
      <c r="J990" s="95"/>
      <c r="K990" s="95"/>
      <c r="L990" s="95"/>
      <c r="M990" s="95"/>
      <c r="N990" s="95"/>
      <c r="O990" s="95"/>
      <c r="P990" s="95"/>
    </row>
    <row r="991" spans="1:76" s="81" customFormat="1" x14ac:dyDescent="0.25">
      <c r="A991" s="110"/>
      <c r="B991" s="95"/>
      <c r="C991" s="95"/>
      <c r="D991" s="76" t="s">
        <v>1089</v>
      </c>
      <c r="E991" s="76" t="s">
        <v>54</v>
      </c>
      <c r="F991" s="95"/>
      <c r="G991" s="96">
        <v>4.8192500000000003</v>
      </c>
      <c r="H991" s="95"/>
      <c r="I991" s="95"/>
      <c r="J991" s="95"/>
      <c r="K991" s="95"/>
      <c r="L991" s="95"/>
      <c r="M991" s="95"/>
      <c r="N991" s="95"/>
      <c r="O991" s="95"/>
      <c r="P991" s="95"/>
    </row>
    <row r="992" spans="1:76" s="81" customFormat="1" x14ac:dyDescent="0.25">
      <c r="A992" s="110"/>
      <c r="B992" s="95"/>
      <c r="C992" s="95"/>
      <c r="D992" s="76" t="s">
        <v>1090</v>
      </c>
      <c r="E992" s="76" t="s">
        <v>54</v>
      </c>
      <c r="F992" s="95"/>
      <c r="G992" s="96">
        <v>1.8</v>
      </c>
      <c r="H992" s="95"/>
      <c r="I992" s="95"/>
      <c r="J992" s="95"/>
      <c r="K992" s="95"/>
      <c r="L992" s="95"/>
      <c r="M992" s="95"/>
      <c r="N992" s="95"/>
      <c r="O992" s="95"/>
      <c r="P992" s="95"/>
    </row>
    <row r="993" spans="1:76" s="81" customFormat="1" x14ac:dyDescent="0.25">
      <c r="A993" s="66" t="s">
        <v>1091</v>
      </c>
      <c r="B993" s="72" t="s">
        <v>55</v>
      </c>
      <c r="C993" s="72" t="s">
        <v>1092</v>
      </c>
      <c r="D993" s="174" t="s">
        <v>1093</v>
      </c>
      <c r="E993" s="174"/>
      <c r="F993" s="72" t="s">
        <v>192</v>
      </c>
      <c r="G993" s="90">
        <v>19.74333</v>
      </c>
      <c r="H993" s="91"/>
      <c r="I993" s="92" t="s">
        <v>63</v>
      </c>
      <c r="J993" s="90">
        <f>G993*AO993</f>
        <v>0</v>
      </c>
      <c r="K993" s="90">
        <f>G993*AP993</f>
        <v>0</v>
      </c>
      <c r="L993" s="90">
        <f>G993*H993</f>
        <v>0</v>
      </c>
      <c r="M993" s="90">
        <f>L993*(1+BW993/100)</f>
        <v>0</v>
      </c>
      <c r="N993" s="90">
        <v>9.3799999999999994E-3</v>
      </c>
      <c r="O993" s="90">
        <f>G993*N993</f>
        <v>0.18519243539999999</v>
      </c>
      <c r="P993" s="92" t="s">
        <v>64</v>
      </c>
      <c r="Z993" s="93">
        <f>IF(AQ993="5",BJ993,0)</f>
        <v>0</v>
      </c>
      <c r="AB993" s="93">
        <f>IF(AQ993="1",BH993,0)</f>
        <v>0</v>
      </c>
      <c r="AC993" s="93">
        <f>IF(AQ993="1",BI993,0)</f>
        <v>0</v>
      </c>
      <c r="AD993" s="93">
        <f>IF(AQ993="7",BH993,0)</f>
        <v>0</v>
      </c>
      <c r="AE993" s="93">
        <f>IF(AQ993="7",BI993,0)</f>
        <v>0</v>
      </c>
      <c r="AF993" s="93">
        <f>IF(AQ993="2",BH993,0)</f>
        <v>0</v>
      </c>
      <c r="AG993" s="93">
        <f>IF(AQ993="2",BI993,0)</f>
        <v>0</v>
      </c>
      <c r="AH993" s="93">
        <f>IF(AQ993="0",BJ993,0)</f>
        <v>0</v>
      </c>
      <c r="AI993" s="88" t="s">
        <v>55</v>
      </c>
      <c r="AJ993" s="93">
        <f>IF(AN993=0,L993,0)</f>
        <v>0</v>
      </c>
      <c r="AK993" s="93">
        <f>IF(AN993=12,L993,0)</f>
        <v>0</v>
      </c>
      <c r="AL993" s="93">
        <f>IF(AN993=21,L993,0)</f>
        <v>0</v>
      </c>
      <c r="AN993" s="93">
        <v>21</v>
      </c>
      <c r="AO993" s="93">
        <f>H993*0.359300104</f>
        <v>0</v>
      </c>
      <c r="AP993" s="93">
        <f>H993*(1-0.359300104)</f>
        <v>0</v>
      </c>
      <c r="AQ993" s="94" t="s">
        <v>59</v>
      </c>
      <c r="AV993" s="93">
        <f>AW993+AX993</f>
        <v>0</v>
      </c>
      <c r="AW993" s="93">
        <f>G993*AO993</f>
        <v>0</v>
      </c>
      <c r="AX993" s="93">
        <f>G993*AP993</f>
        <v>0</v>
      </c>
      <c r="AY993" s="94" t="s">
        <v>971</v>
      </c>
      <c r="AZ993" s="94" t="s">
        <v>871</v>
      </c>
      <c r="BA993" s="88" t="s">
        <v>67</v>
      </c>
      <c r="BC993" s="93">
        <f>AW993+AX993</f>
        <v>0</v>
      </c>
      <c r="BD993" s="93">
        <f>H993/(100-BE993)*100</f>
        <v>0</v>
      </c>
      <c r="BE993" s="93">
        <v>0</v>
      </c>
      <c r="BF993" s="93">
        <f>O993</f>
        <v>0.18519243539999999</v>
      </c>
      <c r="BH993" s="93">
        <f>G993*AO993</f>
        <v>0</v>
      </c>
      <c r="BI993" s="93">
        <f>G993*AP993</f>
        <v>0</v>
      </c>
      <c r="BJ993" s="93">
        <f>G993*H993</f>
        <v>0</v>
      </c>
      <c r="BK993" s="93"/>
      <c r="BL993" s="93">
        <v>62</v>
      </c>
      <c r="BW993" s="93" t="str">
        <f>I993</f>
        <v>21</v>
      </c>
      <c r="BX993" s="2" t="s">
        <v>1093</v>
      </c>
    </row>
    <row r="994" spans="1:76" s="81" customFormat="1" x14ac:dyDescent="0.25">
      <c r="A994" s="110"/>
      <c r="B994" s="95"/>
      <c r="C994" s="95"/>
      <c r="D994" s="76" t="s">
        <v>54</v>
      </c>
      <c r="E994" s="76" t="s">
        <v>948</v>
      </c>
      <c r="F994" s="95"/>
      <c r="G994" s="96">
        <v>0</v>
      </c>
      <c r="H994" s="95"/>
      <c r="I994" s="95"/>
      <c r="J994" s="95"/>
      <c r="K994" s="95"/>
      <c r="L994" s="95"/>
      <c r="M994" s="95"/>
      <c r="N994" s="95"/>
      <c r="O994" s="95"/>
      <c r="P994" s="95"/>
    </row>
    <row r="995" spans="1:76" s="81" customFormat="1" x14ac:dyDescent="0.25">
      <c r="A995" s="110"/>
      <c r="B995" s="95"/>
      <c r="C995" s="95"/>
      <c r="D995" s="76" t="s">
        <v>1094</v>
      </c>
      <c r="E995" s="76" t="s">
        <v>54</v>
      </c>
      <c r="F995" s="95"/>
      <c r="G995" s="96">
        <v>4.24125</v>
      </c>
      <c r="H995" s="95"/>
      <c r="I995" s="95"/>
      <c r="J995" s="95"/>
      <c r="K995" s="95"/>
      <c r="L995" s="95"/>
      <c r="M995" s="95"/>
      <c r="N995" s="95"/>
      <c r="O995" s="95"/>
      <c r="P995" s="95"/>
    </row>
    <row r="996" spans="1:76" s="81" customFormat="1" ht="25.5" x14ac:dyDescent="0.25">
      <c r="A996" s="110"/>
      <c r="B996" s="95"/>
      <c r="C996" s="95"/>
      <c r="D996" s="76" t="s">
        <v>1095</v>
      </c>
      <c r="E996" s="76" t="s">
        <v>54</v>
      </c>
      <c r="F996" s="95"/>
      <c r="G996" s="96">
        <v>12.05738</v>
      </c>
      <c r="H996" s="95"/>
      <c r="I996" s="95"/>
      <c r="J996" s="95"/>
      <c r="K996" s="95"/>
      <c r="L996" s="95"/>
      <c r="M996" s="95"/>
      <c r="N996" s="95"/>
      <c r="O996" s="95"/>
      <c r="P996" s="95"/>
    </row>
    <row r="997" spans="1:76" s="81" customFormat="1" x14ac:dyDescent="0.25">
      <c r="A997" s="110"/>
      <c r="B997" s="95"/>
      <c r="C997" s="95"/>
      <c r="D997" s="76" t="s">
        <v>1096</v>
      </c>
      <c r="E997" s="76" t="s">
        <v>54</v>
      </c>
      <c r="F997" s="95"/>
      <c r="G997" s="96">
        <v>3.4447000000000001</v>
      </c>
      <c r="H997" s="95"/>
      <c r="I997" s="95"/>
      <c r="J997" s="95"/>
      <c r="K997" s="95"/>
      <c r="L997" s="95"/>
      <c r="M997" s="95"/>
      <c r="N997" s="95"/>
      <c r="O997" s="95"/>
      <c r="P997" s="95"/>
    </row>
    <row r="998" spans="1:76" s="81" customFormat="1" x14ac:dyDescent="0.25">
      <c r="A998" s="109" t="s">
        <v>54</v>
      </c>
      <c r="B998" s="74" t="s">
        <v>55</v>
      </c>
      <c r="C998" s="74" t="s">
        <v>560</v>
      </c>
      <c r="D998" s="180" t="s">
        <v>1097</v>
      </c>
      <c r="E998" s="180"/>
      <c r="F998" s="85" t="s">
        <v>4</v>
      </c>
      <c r="G998" s="85" t="s">
        <v>4</v>
      </c>
      <c r="H998" s="85" t="s">
        <v>4</v>
      </c>
      <c r="I998" s="85" t="s">
        <v>4</v>
      </c>
      <c r="J998" s="86">
        <f>SUM(J999:J1103)</f>
        <v>0</v>
      </c>
      <c r="K998" s="86">
        <f t="shared" ref="K998:O998" si="0">SUM(K999:K1103)</f>
        <v>0</v>
      </c>
      <c r="L998" s="86">
        <f t="shared" si="0"/>
        <v>0</v>
      </c>
      <c r="M998" s="86">
        <f t="shared" si="0"/>
        <v>0</v>
      </c>
      <c r="N998" s="86"/>
      <c r="O998" s="86">
        <f t="shared" si="0"/>
        <v>942.30884762850008</v>
      </c>
      <c r="P998" s="87" t="s">
        <v>54</v>
      </c>
      <c r="AI998" s="88" t="s">
        <v>55</v>
      </c>
      <c r="AS998" s="89">
        <f>SUM(AJ999:AJ1102)</f>
        <v>0</v>
      </c>
      <c r="AT998" s="89">
        <f>SUM(AK999:AK1102)</f>
        <v>0</v>
      </c>
      <c r="AU998" s="89">
        <f>SUM(AL999:AL1102)</f>
        <v>0</v>
      </c>
    </row>
    <row r="999" spans="1:76" s="81" customFormat="1" x14ac:dyDescent="0.25">
      <c r="A999" s="66" t="s">
        <v>1098</v>
      </c>
      <c r="B999" s="72" t="s">
        <v>55</v>
      </c>
      <c r="C999" s="72" t="s">
        <v>1099</v>
      </c>
      <c r="D999" s="174" t="s">
        <v>1100</v>
      </c>
      <c r="E999" s="174"/>
      <c r="F999" s="72" t="s">
        <v>192</v>
      </c>
      <c r="G999" s="90">
        <v>594.03200000000004</v>
      </c>
      <c r="H999" s="91"/>
      <c r="I999" s="103">
        <v>21</v>
      </c>
      <c r="J999" s="90">
        <f>ROUND(G999*AO999,2)</f>
        <v>0</v>
      </c>
      <c r="K999" s="90">
        <f>ROUND(G999*AP999,2)</f>
        <v>0</v>
      </c>
      <c r="L999" s="90">
        <f>ROUND(G999*H999,2)</f>
        <v>0</v>
      </c>
      <c r="M999" s="90">
        <f>L999*(1+BW999/100)</f>
        <v>0</v>
      </c>
      <c r="N999" s="90">
        <v>5.5700000000000003E-3</v>
      </c>
      <c r="O999" s="90">
        <f>G999*N999</f>
        <v>3.3087582400000004</v>
      </c>
      <c r="P999" s="92" t="s">
        <v>64</v>
      </c>
      <c r="Z999" s="93">
        <f>ROUND(IF(AQ999="5",BJ999,0),2)</f>
        <v>0</v>
      </c>
      <c r="AB999" s="93">
        <f>ROUND(IF(AQ999="1",BH999,0),2)</f>
        <v>0</v>
      </c>
      <c r="AC999" s="93">
        <f>ROUND(IF(AQ999="1",BI999,0),2)</f>
        <v>0</v>
      </c>
      <c r="AD999" s="93">
        <f>ROUND(IF(AQ999="7",BH999,0),2)</f>
        <v>0</v>
      </c>
      <c r="AE999" s="93">
        <f>ROUND(IF(AQ999="7",BI999,0),2)</f>
        <v>0</v>
      </c>
      <c r="AF999" s="93">
        <f>ROUND(IF(AQ999="2",BH999,0),2)</f>
        <v>0</v>
      </c>
      <c r="AG999" s="93">
        <f>ROUND(IF(AQ999="2",BI999,0),2)</f>
        <v>0</v>
      </c>
      <c r="AH999" s="93">
        <f>ROUND(IF(AQ999="0",BJ999,0),2)</f>
        <v>0</v>
      </c>
      <c r="AI999" s="88" t="s">
        <v>55</v>
      </c>
      <c r="AJ999" s="93">
        <f>IF(AN999=0,L999,0)</f>
        <v>0</v>
      </c>
      <c r="AK999" s="93">
        <f>IF(AN999=12,L999,0)</f>
        <v>0</v>
      </c>
      <c r="AL999" s="93">
        <f>IF(AN999=21,L999,0)</f>
        <v>0</v>
      </c>
      <c r="AN999" s="93">
        <v>21</v>
      </c>
      <c r="AO999" s="93">
        <f>H999*0.688374008</f>
        <v>0</v>
      </c>
      <c r="AP999" s="93">
        <f>H999*(1-0.688374008)</f>
        <v>0</v>
      </c>
      <c r="AQ999" s="94" t="s">
        <v>59</v>
      </c>
      <c r="AV999" s="93">
        <f>ROUND(AW999+AX999,2)</f>
        <v>0</v>
      </c>
      <c r="AW999" s="93">
        <f>ROUND(G999*AO999,2)</f>
        <v>0</v>
      </c>
      <c r="AX999" s="93">
        <f>ROUND(G999*AP999,2)</f>
        <v>0</v>
      </c>
      <c r="AY999" s="94" t="s">
        <v>1101</v>
      </c>
      <c r="AZ999" s="94" t="s">
        <v>871</v>
      </c>
      <c r="BA999" s="88" t="s">
        <v>67</v>
      </c>
      <c r="BC999" s="93">
        <f>AW999+AX999</f>
        <v>0</v>
      </c>
      <c r="BD999" s="93">
        <f>H999/(100-BE999)*100</f>
        <v>0</v>
      </c>
      <c r="BE999" s="93">
        <v>0</v>
      </c>
      <c r="BF999" s="93">
        <f>O999</f>
        <v>3.3087582400000004</v>
      </c>
      <c r="BH999" s="93">
        <f>G999*AO999</f>
        <v>0</v>
      </c>
      <c r="BI999" s="93">
        <f>G999*AP999</f>
        <v>0</v>
      </c>
      <c r="BJ999" s="93">
        <f>G999*H999</f>
        <v>0</v>
      </c>
      <c r="BK999" s="93"/>
      <c r="BL999" s="93">
        <v>63</v>
      </c>
      <c r="BW999" s="93">
        <f>I999</f>
        <v>21</v>
      </c>
      <c r="BX999" s="2" t="s">
        <v>1100</v>
      </c>
    </row>
    <row r="1000" spans="1:76" s="81" customFormat="1" x14ac:dyDescent="0.25">
      <c r="A1000" s="110"/>
      <c r="B1000" s="95"/>
      <c r="C1000" s="95"/>
      <c r="D1000" s="76" t="s">
        <v>54</v>
      </c>
      <c r="E1000" s="76" t="s">
        <v>1102</v>
      </c>
      <c r="F1000" s="95"/>
      <c r="G1000" s="96">
        <v>0</v>
      </c>
      <c r="H1000" s="97"/>
      <c r="I1000" s="95"/>
      <c r="J1000" s="95"/>
      <c r="K1000" s="95"/>
      <c r="L1000" s="95"/>
      <c r="M1000" s="95"/>
      <c r="N1000" s="95"/>
      <c r="O1000" s="95"/>
      <c r="P1000" s="95"/>
    </row>
    <row r="1001" spans="1:76" s="81" customFormat="1" x14ac:dyDescent="0.25">
      <c r="A1001" s="110"/>
      <c r="B1001" s="95"/>
      <c r="C1001" s="95"/>
      <c r="D1001" s="76" t="s">
        <v>54</v>
      </c>
      <c r="E1001" s="76" t="s">
        <v>1103</v>
      </c>
      <c r="F1001" s="95"/>
      <c r="G1001" s="96">
        <v>0</v>
      </c>
      <c r="H1001" s="97"/>
      <c r="I1001" s="95"/>
      <c r="J1001" s="95"/>
      <c r="K1001" s="95"/>
      <c r="L1001" s="95"/>
      <c r="M1001" s="95"/>
      <c r="N1001" s="95"/>
      <c r="O1001" s="95"/>
      <c r="P1001" s="95"/>
    </row>
    <row r="1002" spans="1:76" s="81" customFormat="1" ht="25.5" x14ac:dyDescent="0.25">
      <c r="A1002" s="110"/>
      <c r="B1002" s="95"/>
      <c r="C1002" s="95"/>
      <c r="D1002" s="76" t="s">
        <v>4324</v>
      </c>
      <c r="E1002" s="76" t="s">
        <v>4320</v>
      </c>
      <c r="F1002" s="95"/>
      <c r="G1002" s="96">
        <v>246.1</v>
      </c>
      <c r="H1002" s="97"/>
      <c r="I1002" s="95"/>
      <c r="J1002" s="95"/>
      <c r="K1002" s="95"/>
      <c r="L1002" s="95"/>
      <c r="M1002" s="95"/>
      <c r="N1002" s="95"/>
      <c r="O1002" s="95"/>
      <c r="P1002" s="95"/>
    </row>
    <row r="1003" spans="1:76" s="81" customFormat="1" x14ac:dyDescent="0.25">
      <c r="A1003" s="110"/>
      <c r="B1003" s="95"/>
      <c r="C1003" s="95"/>
      <c r="D1003" s="76" t="s">
        <v>54</v>
      </c>
      <c r="E1003" s="76" t="s">
        <v>1105</v>
      </c>
      <c r="F1003" s="95"/>
      <c r="G1003" s="96">
        <v>0</v>
      </c>
      <c r="H1003" s="97"/>
      <c r="I1003" s="95"/>
      <c r="J1003" s="95"/>
      <c r="K1003" s="95"/>
      <c r="L1003" s="95"/>
      <c r="M1003" s="95"/>
      <c r="N1003" s="95"/>
      <c r="O1003" s="95"/>
      <c r="P1003" s="95"/>
    </row>
    <row r="1004" spans="1:76" s="81" customFormat="1" x14ac:dyDescent="0.25">
      <c r="A1004" s="110"/>
      <c r="B1004" s="95"/>
      <c r="C1004" s="95"/>
      <c r="D1004" s="76" t="s">
        <v>54</v>
      </c>
      <c r="E1004" s="76" t="s">
        <v>1106</v>
      </c>
      <c r="F1004" s="95"/>
      <c r="G1004" s="96">
        <v>0</v>
      </c>
      <c r="H1004" s="97"/>
      <c r="I1004" s="95"/>
      <c r="J1004" s="95"/>
      <c r="K1004" s="95"/>
      <c r="L1004" s="95"/>
      <c r="M1004" s="95"/>
      <c r="N1004" s="95"/>
      <c r="O1004" s="95"/>
      <c r="P1004" s="95"/>
    </row>
    <row r="1005" spans="1:76" s="81" customFormat="1" ht="25.5" x14ac:dyDescent="0.25">
      <c r="A1005" s="110"/>
      <c r="B1005" s="95"/>
      <c r="C1005" s="95"/>
      <c r="D1005" s="76" t="s">
        <v>1107</v>
      </c>
      <c r="E1005" s="76" t="s">
        <v>1108</v>
      </c>
      <c r="F1005" s="95"/>
      <c r="G1005" s="96">
        <v>17.431999999999999</v>
      </c>
      <c r="H1005" s="97"/>
      <c r="I1005" s="95"/>
      <c r="J1005" s="95"/>
      <c r="K1005" s="95"/>
      <c r="L1005" s="95"/>
      <c r="M1005" s="95"/>
      <c r="N1005" s="95"/>
      <c r="O1005" s="95"/>
      <c r="P1005" s="95"/>
    </row>
    <row r="1006" spans="1:76" s="81" customFormat="1" ht="25.5" x14ac:dyDescent="0.25">
      <c r="A1006" s="110"/>
      <c r="B1006" s="95"/>
      <c r="C1006" s="95"/>
      <c r="D1006" s="76" t="s">
        <v>1109</v>
      </c>
      <c r="E1006" s="76" t="s">
        <v>1110</v>
      </c>
      <c r="F1006" s="95"/>
      <c r="G1006" s="96">
        <v>330.5</v>
      </c>
      <c r="H1006" s="97"/>
      <c r="I1006" s="95"/>
      <c r="J1006" s="95"/>
      <c r="K1006" s="95"/>
      <c r="L1006" s="95"/>
      <c r="M1006" s="95"/>
      <c r="N1006" s="95"/>
      <c r="O1006" s="95"/>
      <c r="P1006" s="95"/>
    </row>
    <row r="1007" spans="1:76" s="81" customFormat="1" x14ac:dyDescent="0.25">
      <c r="A1007" s="66" t="s">
        <v>1111</v>
      </c>
      <c r="B1007" s="72" t="s">
        <v>55</v>
      </c>
      <c r="C1007" s="72" t="s">
        <v>1112</v>
      </c>
      <c r="D1007" s="174" t="s">
        <v>1113</v>
      </c>
      <c r="E1007" s="174"/>
      <c r="F1007" s="72" t="s">
        <v>192</v>
      </c>
      <c r="G1007" s="90">
        <v>745.85199999999998</v>
      </c>
      <c r="H1007" s="91"/>
      <c r="I1007" s="103">
        <v>21</v>
      </c>
      <c r="J1007" s="90">
        <f>ROUND(G1007*AO1007,2)</f>
        <v>0</v>
      </c>
      <c r="K1007" s="90">
        <f>ROUND(G1007*AP1007,2)</f>
        <v>0</v>
      </c>
      <c r="L1007" s="90">
        <f>ROUND(G1007*H1007,2)</f>
        <v>0</v>
      </c>
      <c r="M1007" s="90">
        <f>L1007*(1+BW1007/100)</f>
        <v>0</v>
      </c>
      <c r="N1007" s="90">
        <v>0.1111</v>
      </c>
      <c r="O1007" s="90">
        <f>G1007*N1007</f>
        <v>82.864157199999994</v>
      </c>
      <c r="P1007" s="92" t="s">
        <v>64</v>
      </c>
      <c r="Z1007" s="93">
        <f>ROUND(IF(AQ1007="5",BJ1007,0),2)</f>
        <v>0</v>
      </c>
      <c r="AB1007" s="93">
        <f>ROUND(IF(AQ1007="1",BH1007,0),2)</f>
        <v>0</v>
      </c>
      <c r="AC1007" s="93">
        <f>ROUND(IF(AQ1007="1",BI1007,0),2)</f>
        <v>0</v>
      </c>
      <c r="AD1007" s="93">
        <f>ROUND(IF(AQ1007="7",BH1007,0),2)</f>
        <v>0</v>
      </c>
      <c r="AE1007" s="93">
        <f>ROUND(IF(AQ1007="7",BI1007,0),2)</f>
        <v>0</v>
      </c>
      <c r="AF1007" s="93">
        <f>ROUND(IF(AQ1007="2",BH1007,0),2)</f>
        <v>0</v>
      </c>
      <c r="AG1007" s="93">
        <f>ROUND(IF(AQ1007="2",BI1007,0),2)</f>
        <v>0</v>
      </c>
      <c r="AH1007" s="93">
        <f>ROUND(IF(AQ1007="0",BJ1007,0),2)</f>
        <v>0</v>
      </c>
      <c r="AI1007" s="88" t="s">
        <v>55</v>
      </c>
      <c r="AJ1007" s="93">
        <f>IF(AN1007=0,L1007,0)</f>
        <v>0</v>
      </c>
      <c r="AK1007" s="93">
        <f>IF(AN1007=12,L1007,0)</f>
        <v>0</v>
      </c>
      <c r="AL1007" s="93">
        <f>IF(AN1007=21,L1007,0)</f>
        <v>0</v>
      </c>
      <c r="AN1007" s="93">
        <v>21</v>
      </c>
      <c r="AO1007" s="93">
        <f>H1007*0.789116955</f>
        <v>0</v>
      </c>
      <c r="AP1007" s="93">
        <f>H1007*(1-0.789116955)</f>
        <v>0</v>
      </c>
      <c r="AQ1007" s="94" t="s">
        <v>59</v>
      </c>
      <c r="AV1007" s="93">
        <f>ROUND(AW1007+AX1007,2)</f>
        <v>0</v>
      </c>
      <c r="AW1007" s="93">
        <f>ROUND(G1007*AO1007,2)</f>
        <v>0</v>
      </c>
      <c r="AX1007" s="93">
        <f>ROUND(G1007*AP1007,2)</f>
        <v>0</v>
      </c>
      <c r="AY1007" s="94" t="s">
        <v>1101</v>
      </c>
      <c r="AZ1007" s="94" t="s">
        <v>871</v>
      </c>
      <c r="BA1007" s="88" t="s">
        <v>67</v>
      </c>
      <c r="BC1007" s="93">
        <f>AW1007+AX1007</f>
        <v>0</v>
      </c>
      <c r="BD1007" s="93">
        <f>H1007/(100-BE1007)*100</f>
        <v>0</v>
      </c>
      <c r="BE1007" s="93">
        <v>0</v>
      </c>
      <c r="BF1007" s="93">
        <f>O1007</f>
        <v>82.864157199999994</v>
      </c>
      <c r="BH1007" s="93">
        <f>G1007*AO1007</f>
        <v>0</v>
      </c>
      <c r="BI1007" s="93">
        <f>G1007*AP1007</f>
        <v>0</v>
      </c>
      <c r="BJ1007" s="93">
        <f>G1007*H1007</f>
        <v>0</v>
      </c>
      <c r="BK1007" s="93"/>
      <c r="BL1007" s="93">
        <v>63</v>
      </c>
      <c r="BW1007" s="93">
        <f>I1007</f>
        <v>21</v>
      </c>
      <c r="BX1007" s="2" t="s">
        <v>1113</v>
      </c>
    </row>
    <row r="1008" spans="1:76" s="81" customFormat="1" x14ac:dyDescent="0.25">
      <c r="A1008" s="110"/>
      <c r="B1008" s="95"/>
      <c r="C1008" s="95"/>
      <c r="D1008" s="76" t="s">
        <v>54</v>
      </c>
      <c r="E1008" s="76" t="s">
        <v>1102</v>
      </c>
      <c r="F1008" s="95"/>
      <c r="G1008" s="96">
        <v>0</v>
      </c>
      <c r="H1008" s="97"/>
      <c r="I1008" s="95"/>
      <c r="J1008" s="95"/>
      <c r="K1008" s="95"/>
      <c r="L1008" s="95"/>
      <c r="M1008" s="95"/>
      <c r="N1008" s="95"/>
      <c r="O1008" s="95"/>
      <c r="P1008" s="95"/>
    </row>
    <row r="1009" spans="1:76" s="81" customFormat="1" x14ac:dyDescent="0.25">
      <c r="A1009" s="110"/>
      <c r="B1009" s="95"/>
      <c r="C1009" s="95"/>
      <c r="D1009" s="76" t="s">
        <v>54</v>
      </c>
      <c r="E1009" s="76" t="s">
        <v>1103</v>
      </c>
      <c r="F1009" s="95"/>
      <c r="G1009" s="96">
        <v>0</v>
      </c>
      <c r="H1009" s="97"/>
      <c r="I1009" s="95"/>
      <c r="J1009" s="95"/>
      <c r="K1009" s="95"/>
      <c r="L1009" s="95"/>
      <c r="M1009" s="95"/>
      <c r="N1009" s="95"/>
      <c r="O1009" s="95"/>
      <c r="P1009" s="95"/>
    </row>
    <row r="1010" spans="1:76" s="81" customFormat="1" ht="25.5" x14ac:dyDescent="0.25">
      <c r="A1010" s="110"/>
      <c r="B1010" s="95"/>
      <c r="C1010" s="95"/>
      <c r="D1010" s="76" t="s">
        <v>4306</v>
      </c>
      <c r="E1010" s="76" t="s">
        <v>1104</v>
      </c>
      <c r="F1010" s="95"/>
      <c r="G1010" s="96">
        <v>242</v>
      </c>
      <c r="H1010" s="97"/>
      <c r="I1010" s="95"/>
      <c r="J1010" s="95"/>
      <c r="K1010" s="95"/>
      <c r="L1010" s="95"/>
      <c r="M1010" s="95"/>
      <c r="N1010" s="95"/>
      <c r="O1010" s="95"/>
      <c r="P1010" s="95"/>
    </row>
    <row r="1011" spans="1:76" s="81" customFormat="1" x14ac:dyDescent="0.25">
      <c r="A1011" s="110"/>
      <c r="B1011" s="95"/>
      <c r="C1011" s="95"/>
      <c r="D1011" s="76" t="s">
        <v>4311</v>
      </c>
      <c r="E1011" s="76" t="s">
        <v>4310</v>
      </c>
      <c r="F1011" s="95"/>
      <c r="G1011" s="96">
        <v>1.44</v>
      </c>
      <c r="H1011" s="97"/>
      <c r="I1011" s="95"/>
      <c r="J1011" s="95"/>
      <c r="K1011" s="95"/>
      <c r="L1011" s="95"/>
      <c r="M1011" s="95"/>
      <c r="N1011" s="95"/>
      <c r="O1011" s="95"/>
      <c r="P1011" s="95"/>
    </row>
    <row r="1012" spans="1:76" s="81" customFormat="1" x14ac:dyDescent="0.25">
      <c r="A1012" s="110"/>
      <c r="B1012" s="95"/>
      <c r="C1012" s="95"/>
      <c r="D1012" s="76" t="s">
        <v>54</v>
      </c>
      <c r="E1012" s="76" t="s">
        <v>1105</v>
      </c>
      <c r="F1012" s="95"/>
      <c r="G1012" s="96">
        <v>0</v>
      </c>
      <c r="H1012" s="97"/>
      <c r="I1012" s="95"/>
      <c r="J1012" s="95"/>
      <c r="K1012" s="95"/>
      <c r="L1012" s="95"/>
      <c r="M1012" s="95"/>
      <c r="N1012" s="95"/>
      <c r="O1012" s="95"/>
      <c r="P1012" s="95"/>
    </row>
    <row r="1013" spans="1:76" s="81" customFormat="1" x14ac:dyDescent="0.25">
      <c r="A1013" s="110"/>
      <c r="B1013" s="95"/>
      <c r="C1013" s="95"/>
      <c r="D1013" s="76" t="s">
        <v>54</v>
      </c>
      <c r="E1013" s="76" t="s">
        <v>1106</v>
      </c>
      <c r="F1013" s="95"/>
      <c r="G1013" s="96">
        <v>0</v>
      </c>
      <c r="H1013" s="97"/>
      <c r="I1013" s="95"/>
      <c r="J1013" s="95"/>
      <c r="K1013" s="95"/>
      <c r="L1013" s="95"/>
      <c r="M1013" s="95"/>
      <c r="N1013" s="95"/>
      <c r="O1013" s="95"/>
      <c r="P1013" s="95"/>
    </row>
    <row r="1014" spans="1:76" s="81" customFormat="1" x14ac:dyDescent="0.25">
      <c r="A1014" s="110"/>
      <c r="B1014" s="95"/>
      <c r="C1014" s="95"/>
      <c r="D1014" s="76" t="s">
        <v>1114</v>
      </c>
      <c r="E1014" s="76" t="s">
        <v>1115</v>
      </c>
      <c r="F1014" s="95"/>
      <c r="G1014" s="96">
        <v>9.3119999999999994</v>
      </c>
      <c r="H1014" s="97"/>
      <c r="I1014" s="95"/>
      <c r="J1014" s="95"/>
      <c r="K1014" s="95"/>
      <c r="L1014" s="95"/>
      <c r="M1014" s="95"/>
      <c r="N1014" s="95"/>
      <c r="O1014" s="95"/>
      <c r="P1014" s="95"/>
    </row>
    <row r="1015" spans="1:76" s="81" customFormat="1" ht="25.5" x14ac:dyDescent="0.25">
      <c r="A1015" s="110"/>
      <c r="B1015" s="95"/>
      <c r="C1015" s="95"/>
      <c r="D1015" s="76" t="s">
        <v>1109</v>
      </c>
      <c r="E1015" s="76" t="s">
        <v>1110</v>
      </c>
      <c r="F1015" s="95"/>
      <c r="G1015" s="96">
        <v>330.5</v>
      </c>
      <c r="H1015" s="97"/>
      <c r="I1015" s="95"/>
      <c r="J1015" s="95"/>
      <c r="K1015" s="95"/>
      <c r="L1015" s="95"/>
      <c r="M1015" s="95"/>
      <c r="N1015" s="95"/>
      <c r="O1015" s="95"/>
      <c r="P1015" s="95"/>
    </row>
    <row r="1016" spans="1:76" s="81" customFormat="1" x14ac:dyDescent="0.25">
      <c r="A1016" s="110"/>
      <c r="B1016" s="95"/>
      <c r="C1016" s="95"/>
      <c r="D1016" s="76" t="s">
        <v>54</v>
      </c>
      <c r="E1016" s="76" t="s">
        <v>1116</v>
      </c>
      <c r="F1016" s="95"/>
      <c r="G1016" s="96">
        <v>0</v>
      </c>
      <c r="H1016" s="97"/>
      <c r="I1016" s="95"/>
      <c r="J1016" s="95"/>
      <c r="K1016" s="95"/>
      <c r="L1016" s="95"/>
      <c r="M1016" s="95"/>
      <c r="N1016" s="95"/>
      <c r="O1016" s="95"/>
      <c r="P1016" s="95"/>
    </row>
    <row r="1017" spans="1:76" s="81" customFormat="1" x14ac:dyDescent="0.25">
      <c r="A1017" s="110"/>
      <c r="B1017" s="95"/>
      <c r="C1017" s="95"/>
      <c r="D1017" s="76" t="s">
        <v>54</v>
      </c>
      <c r="E1017" s="76" t="s">
        <v>1103</v>
      </c>
      <c r="F1017" s="95"/>
      <c r="G1017" s="96">
        <v>0</v>
      </c>
      <c r="H1017" s="97"/>
      <c r="I1017" s="95"/>
      <c r="J1017" s="95"/>
      <c r="K1017" s="95"/>
      <c r="L1017" s="95"/>
      <c r="M1017" s="95"/>
      <c r="N1017" s="95"/>
      <c r="O1017" s="95"/>
      <c r="P1017" s="95"/>
    </row>
    <row r="1018" spans="1:76" s="81" customFormat="1" ht="25.5" x14ac:dyDescent="0.25">
      <c r="A1018" s="110"/>
      <c r="B1018" s="95"/>
      <c r="C1018" s="95"/>
      <c r="D1018" s="76" t="s">
        <v>1117</v>
      </c>
      <c r="E1018" s="76" t="s">
        <v>1118</v>
      </c>
      <c r="F1018" s="95"/>
      <c r="G1018" s="96">
        <v>118.3</v>
      </c>
      <c r="H1018" s="97"/>
      <c r="I1018" s="95"/>
      <c r="J1018" s="95"/>
      <c r="K1018" s="95"/>
      <c r="L1018" s="95"/>
      <c r="M1018" s="95"/>
      <c r="N1018" s="95"/>
      <c r="O1018" s="95"/>
      <c r="P1018" s="95"/>
    </row>
    <row r="1019" spans="1:76" s="81" customFormat="1" x14ac:dyDescent="0.25">
      <c r="A1019" s="110"/>
      <c r="B1019" s="95"/>
      <c r="C1019" s="95"/>
      <c r="D1019" s="76" t="s">
        <v>54</v>
      </c>
      <c r="E1019" s="76" t="s">
        <v>1119</v>
      </c>
      <c r="F1019" s="95"/>
      <c r="G1019" s="96">
        <v>0</v>
      </c>
      <c r="H1019" s="97"/>
      <c r="I1019" s="95"/>
      <c r="J1019" s="95"/>
      <c r="K1019" s="95"/>
      <c r="L1019" s="95"/>
      <c r="M1019" s="95"/>
      <c r="N1019" s="95"/>
      <c r="O1019" s="95"/>
      <c r="P1019" s="95"/>
    </row>
    <row r="1020" spans="1:76" s="81" customFormat="1" x14ac:dyDescent="0.25">
      <c r="A1020" s="110"/>
      <c r="B1020" s="95"/>
      <c r="C1020" s="95"/>
      <c r="D1020" s="76" t="s">
        <v>54</v>
      </c>
      <c r="E1020" s="76" t="s">
        <v>1106</v>
      </c>
      <c r="F1020" s="95"/>
      <c r="G1020" s="96">
        <v>0</v>
      </c>
      <c r="H1020" s="97"/>
      <c r="I1020" s="95"/>
      <c r="J1020" s="95"/>
      <c r="K1020" s="95"/>
      <c r="L1020" s="95"/>
      <c r="M1020" s="95"/>
      <c r="N1020" s="95"/>
      <c r="O1020" s="95"/>
      <c r="P1020" s="95"/>
    </row>
    <row r="1021" spans="1:76" s="81" customFormat="1" ht="25.5" x14ac:dyDescent="0.25">
      <c r="A1021" s="110"/>
      <c r="B1021" s="95"/>
      <c r="C1021" s="95"/>
      <c r="D1021" s="76" t="s">
        <v>1120</v>
      </c>
      <c r="E1021" s="76" t="s">
        <v>1121</v>
      </c>
      <c r="F1021" s="95"/>
      <c r="G1021" s="96">
        <v>44.3</v>
      </c>
      <c r="H1021" s="97"/>
      <c r="I1021" s="95"/>
      <c r="J1021" s="95"/>
      <c r="K1021" s="95"/>
      <c r="L1021" s="95"/>
      <c r="M1021" s="95"/>
      <c r="N1021" s="95"/>
      <c r="O1021" s="95"/>
      <c r="P1021" s="95"/>
    </row>
    <row r="1022" spans="1:76" s="81" customFormat="1" x14ac:dyDescent="0.25">
      <c r="A1022" s="66" t="s">
        <v>1122</v>
      </c>
      <c r="B1022" s="72" t="s">
        <v>55</v>
      </c>
      <c r="C1022" s="72" t="s">
        <v>1123</v>
      </c>
      <c r="D1022" s="174" t="s">
        <v>1124</v>
      </c>
      <c r="E1022" s="174"/>
      <c r="F1022" s="72" t="s">
        <v>192</v>
      </c>
      <c r="G1022" s="90">
        <v>2052.5839999999998</v>
      </c>
      <c r="H1022" s="91"/>
      <c r="I1022" s="103">
        <v>21</v>
      </c>
      <c r="J1022" s="90">
        <f>ROUND(G1022*AO1022,2)</f>
        <v>0</v>
      </c>
      <c r="K1022" s="90">
        <f>ROUND(G1022*AP1022,2)</f>
        <v>0</v>
      </c>
      <c r="L1022" s="90">
        <f>ROUND(G1022*H1022,2)</f>
        <v>0</v>
      </c>
      <c r="M1022" s="90">
        <f>L1022*(1+BW1022/100)</f>
        <v>0</v>
      </c>
      <c r="N1022" s="90">
        <v>1.111E-2</v>
      </c>
      <c r="O1022" s="90">
        <f>G1022*N1022</f>
        <v>22.804208239999998</v>
      </c>
      <c r="P1022" s="92" t="s">
        <v>64</v>
      </c>
      <c r="Z1022" s="93">
        <f>ROUND(IF(AQ1022="5",BJ1022,0),2)</f>
        <v>0</v>
      </c>
      <c r="AB1022" s="93">
        <f>ROUND(IF(AQ1022="1",BH1022,0),2)</f>
        <v>0</v>
      </c>
      <c r="AC1022" s="93">
        <f>ROUND(IF(AQ1022="1",BI1022,0),2)</f>
        <v>0</v>
      </c>
      <c r="AD1022" s="93">
        <f>ROUND(IF(AQ1022="7",BH1022,0),2)</f>
        <v>0</v>
      </c>
      <c r="AE1022" s="93">
        <f>ROUND(IF(AQ1022="7",BI1022,0),2)</f>
        <v>0</v>
      </c>
      <c r="AF1022" s="93">
        <f>ROUND(IF(AQ1022="2",BH1022,0),2)</f>
        <v>0</v>
      </c>
      <c r="AG1022" s="93">
        <f>ROUND(IF(AQ1022="2",BI1022,0),2)</f>
        <v>0</v>
      </c>
      <c r="AH1022" s="93">
        <f>ROUND(IF(AQ1022="0",BJ1022,0),2)</f>
        <v>0</v>
      </c>
      <c r="AI1022" s="88" t="s">
        <v>55</v>
      </c>
      <c r="AJ1022" s="93">
        <f>IF(AN1022=0,L1022,0)</f>
        <v>0</v>
      </c>
      <c r="AK1022" s="93">
        <f>IF(AN1022=12,L1022,0)</f>
        <v>0</v>
      </c>
      <c r="AL1022" s="93">
        <f>IF(AN1022=21,L1022,0)</f>
        <v>0</v>
      </c>
      <c r="AN1022" s="93">
        <v>21</v>
      </c>
      <c r="AO1022" s="93">
        <f>H1022*0.90000004</f>
        <v>0</v>
      </c>
      <c r="AP1022" s="93">
        <f>H1022*(1-0.90000004)</f>
        <v>0</v>
      </c>
      <c r="AQ1022" s="94" t="s">
        <v>59</v>
      </c>
      <c r="AV1022" s="93">
        <f>ROUND(AW1022+AX1022,2)</f>
        <v>0</v>
      </c>
      <c r="AW1022" s="93">
        <f>ROUND(G1022*AO1022,2)</f>
        <v>0</v>
      </c>
      <c r="AX1022" s="93">
        <f>ROUND(G1022*AP1022,2)</f>
        <v>0</v>
      </c>
      <c r="AY1022" s="94" t="s">
        <v>1101</v>
      </c>
      <c r="AZ1022" s="94" t="s">
        <v>871</v>
      </c>
      <c r="BA1022" s="88" t="s">
        <v>67</v>
      </c>
      <c r="BC1022" s="93">
        <f>AW1022+AX1022</f>
        <v>0</v>
      </c>
      <c r="BD1022" s="93">
        <f>H1022/(100-BE1022)*100</f>
        <v>0</v>
      </c>
      <c r="BE1022" s="93">
        <v>0</v>
      </c>
      <c r="BF1022" s="93">
        <f>O1022</f>
        <v>22.804208239999998</v>
      </c>
      <c r="BH1022" s="93">
        <f>G1022*AO1022</f>
        <v>0</v>
      </c>
      <c r="BI1022" s="93">
        <f>G1022*AP1022</f>
        <v>0</v>
      </c>
      <c r="BJ1022" s="93">
        <f>G1022*H1022</f>
        <v>0</v>
      </c>
      <c r="BK1022" s="93"/>
      <c r="BL1022" s="93">
        <v>63</v>
      </c>
      <c r="BW1022" s="93">
        <f>I1022</f>
        <v>21</v>
      </c>
      <c r="BX1022" s="2" t="s">
        <v>1124</v>
      </c>
    </row>
    <row r="1023" spans="1:76" s="81" customFormat="1" ht="25.5" x14ac:dyDescent="0.25">
      <c r="A1023" s="110"/>
      <c r="B1023" s="95"/>
      <c r="C1023" s="95"/>
      <c r="D1023" s="76" t="s">
        <v>54</v>
      </c>
      <c r="E1023" s="76" t="s">
        <v>1125</v>
      </c>
      <c r="F1023" s="95"/>
      <c r="G1023" s="96">
        <v>0</v>
      </c>
      <c r="H1023" s="97"/>
      <c r="I1023" s="95"/>
      <c r="J1023" s="95"/>
      <c r="K1023" s="95"/>
      <c r="L1023" s="95"/>
      <c r="M1023" s="95"/>
      <c r="N1023" s="95"/>
      <c r="O1023" s="95"/>
      <c r="P1023" s="95"/>
    </row>
    <row r="1024" spans="1:76" s="81" customFormat="1" x14ac:dyDescent="0.25">
      <c r="A1024" s="110"/>
      <c r="B1024" s="95"/>
      <c r="C1024" s="95"/>
      <c r="D1024" s="76" t="s">
        <v>54</v>
      </c>
      <c r="E1024" s="76" t="s">
        <v>1103</v>
      </c>
      <c r="F1024" s="95"/>
      <c r="G1024" s="96">
        <v>0</v>
      </c>
      <c r="H1024" s="97"/>
      <c r="I1024" s="95"/>
      <c r="J1024" s="95"/>
      <c r="K1024" s="95"/>
      <c r="L1024" s="95"/>
      <c r="M1024" s="95"/>
      <c r="N1024" s="95"/>
      <c r="O1024" s="95"/>
      <c r="P1024" s="95"/>
    </row>
    <row r="1025" spans="1:76" s="81" customFormat="1" ht="25.5" x14ac:dyDescent="0.25">
      <c r="A1025" s="110"/>
      <c r="B1025" s="95"/>
      <c r="C1025" s="95"/>
      <c r="D1025" s="76" t="s">
        <v>4308</v>
      </c>
      <c r="E1025" s="76" t="s">
        <v>1104</v>
      </c>
      <c r="F1025" s="95"/>
      <c r="G1025" s="96">
        <v>968</v>
      </c>
      <c r="H1025" s="97"/>
      <c r="I1025" s="95"/>
      <c r="J1025" s="95"/>
      <c r="K1025" s="95"/>
      <c r="L1025" s="95"/>
      <c r="M1025" s="95"/>
      <c r="N1025" s="95"/>
      <c r="O1025" s="95"/>
      <c r="P1025" s="95"/>
    </row>
    <row r="1026" spans="1:76" s="81" customFormat="1" x14ac:dyDescent="0.25">
      <c r="A1026" s="110"/>
      <c r="B1026" s="95"/>
      <c r="C1026" s="95"/>
      <c r="D1026" s="76" t="s">
        <v>4325</v>
      </c>
      <c r="E1026" s="76" t="s">
        <v>4310</v>
      </c>
      <c r="F1026" s="95"/>
      <c r="G1026" s="96">
        <v>5.76</v>
      </c>
      <c r="H1026" s="97"/>
      <c r="I1026" s="95"/>
      <c r="J1026" s="95"/>
      <c r="K1026" s="95"/>
      <c r="L1026" s="95"/>
      <c r="M1026" s="95"/>
      <c r="N1026" s="95"/>
      <c r="O1026" s="95"/>
      <c r="P1026" s="95"/>
    </row>
    <row r="1027" spans="1:76" s="81" customFormat="1" ht="25.5" x14ac:dyDescent="0.25">
      <c r="A1027" s="110"/>
      <c r="B1027" s="95"/>
      <c r="C1027" s="95"/>
      <c r="D1027" s="76" t="s">
        <v>54</v>
      </c>
      <c r="E1027" s="76" t="s">
        <v>1126</v>
      </c>
      <c r="F1027" s="95"/>
      <c r="G1027" s="96">
        <v>0</v>
      </c>
      <c r="H1027" s="97"/>
      <c r="I1027" s="95"/>
      <c r="J1027" s="95"/>
      <c r="K1027" s="95"/>
      <c r="L1027" s="95"/>
      <c r="M1027" s="95"/>
      <c r="N1027" s="95"/>
      <c r="O1027" s="95"/>
      <c r="P1027" s="95"/>
    </row>
    <row r="1028" spans="1:76" s="81" customFormat="1" x14ac:dyDescent="0.25">
      <c r="A1028" s="110"/>
      <c r="B1028" s="95"/>
      <c r="C1028" s="95"/>
      <c r="D1028" s="76" t="s">
        <v>54</v>
      </c>
      <c r="E1028" s="76" t="s">
        <v>1106</v>
      </c>
      <c r="F1028" s="95"/>
      <c r="G1028" s="96">
        <v>0</v>
      </c>
      <c r="H1028" s="97"/>
      <c r="I1028" s="95"/>
      <c r="J1028" s="95"/>
      <c r="K1028" s="95"/>
      <c r="L1028" s="95"/>
      <c r="M1028" s="95"/>
      <c r="N1028" s="95"/>
      <c r="O1028" s="95"/>
      <c r="P1028" s="95"/>
    </row>
    <row r="1029" spans="1:76" s="81" customFormat="1" x14ac:dyDescent="0.25">
      <c r="A1029" s="110"/>
      <c r="B1029" s="95"/>
      <c r="C1029" s="95"/>
      <c r="D1029" s="76" t="s">
        <v>1127</v>
      </c>
      <c r="E1029" s="76" t="s">
        <v>1115</v>
      </c>
      <c r="F1029" s="95"/>
      <c r="G1029" s="96">
        <v>18.623999999999999</v>
      </c>
      <c r="H1029" s="97"/>
      <c r="I1029" s="95"/>
      <c r="J1029" s="95"/>
      <c r="K1029" s="95"/>
      <c r="L1029" s="95"/>
      <c r="M1029" s="95"/>
      <c r="N1029" s="95"/>
      <c r="O1029" s="95"/>
      <c r="P1029" s="95"/>
    </row>
    <row r="1030" spans="1:76" s="81" customFormat="1" ht="25.5" x14ac:dyDescent="0.25">
      <c r="A1030" s="110"/>
      <c r="B1030" s="95"/>
      <c r="C1030" s="95"/>
      <c r="D1030" s="76" t="s">
        <v>1128</v>
      </c>
      <c r="E1030" s="76" t="s">
        <v>1110</v>
      </c>
      <c r="F1030" s="95"/>
      <c r="G1030" s="96">
        <v>661</v>
      </c>
      <c r="H1030" s="97"/>
      <c r="I1030" s="95"/>
      <c r="J1030" s="95"/>
      <c r="K1030" s="95"/>
      <c r="L1030" s="95"/>
      <c r="M1030" s="95"/>
      <c r="N1030" s="95"/>
      <c r="O1030" s="95"/>
      <c r="P1030" s="95"/>
    </row>
    <row r="1031" spans="1:76" s="81" customFormat="1" ht="25.5" x14ac:dyDescent="0.25">
      <c r="A1031" s="110"/>
      <c r="B1031" s="95"/>
      <c r="C1031" s="95"/>
      <c r="D1031" s="76" t="s">
        <v>54</v>
      </c>
      <c r="E1031" s="76" t="s">
        <v>1129</v>
      </c>
      <c r="F1031" s="95"/>
      <c r="G1031" s="96">
        <v>0</v>
      </c>
      <c r="H1031" s="97"/>
      <c r="I1031" s="95"/>
      <c r="J1031" s="95"/>
      <c r="K1031" s="95"/>
      <c r="L1031" s="95"/>
      <c r="M1031" s="95"/>
      <c r="N1031" s="95"/>
      <c r="O1031" s="95"/>
      <c r="P1031" s="95"/>
    </row>
    <row r="1032" spans="1:76" s="81" customFormat="1" x14ac:dyDescent="0.25">
      <c r="A1032" s="110"/>
      <c r="B1032" s="95"/>
      <c r="C1032" s="95"/>
      <c r="D1032" s="76" t="s">
        <v>54</v>
      </c>
      <c r="E1032" s="76" t="s">
        <v>1103</v>
      </c>
      <c r="F1032" s="95"/>
      <c r="G1032" s="96">
        <v>0</v>
      </c>
      <c r="H1032" s="97"/>
      <c r="I1032" s="95"/>
      <c r="J1032" s="95"/>
      <c r="K1032" s="95"/>
      <c r="L1032" s="95"/>
      <c r="M1032" s="95"/>
      <c r="N1032" s="95"/>
      <c r="O1032" s="95"/>
      <c r="P1032" s="95"/>
    </row>
    <row r="1033" spans="1:76" s="81" customFormat="1" ht="25.5" x14ac:dyDescent="0.25">
      <c r="A1033" s="110"/>
      <c r="B1033" s="95"/>
      <c r="C1033" s="95"/>
      <c r="D1033" s="76" t="s">
        <v>1130</v>
      </c>
      <c r="E1033" s="76" t="s">
        <v>1118</v>
      </c>
      <c r="F1033" s="95"/>
      <c r="G1033" s="96">
        <v>354.9</v>
      </c>
      <c r="H1033" s="97"/>
      <c r="I1033" s="95"/>
      <c r="J1033" s="95"/>
      <c r="K1033" s="95"/>
      <c r="L1033" s="95"/>
      <c r="M1033" s="95"/>
      <c r="N1033" s="95"/>
      <c r="O1033" s="95"/>
      <c r="P1033" s="95"/>
    </row>
    <row r="1034" spans="1:76" s="81" customFormat="1" x14ac:dyDescent="0.25">
      <c r="A1034" s="110"/>
      <c r="B1034" s="95"/>
      <c r="C1034" s="95"/>
      <c r="D1034" s="76" t="s">
        <v>54</v>
      </c>
      <c r="E1034" s="76" t="s">
        <v>1119</v>
      </c>
      <c r="F1034" s="95"/>
      <c r="G1034" s="96">
        <v>0</v>
      </c>
      <c r="H1034" s="97"/>
      <c r="I1034" s="95"/>
      <c r="J1034" s="95"/>
      <c r="K1034" s="95"/>
      <c r="L1034" s="95"/>
      <c r="M1034" s="95"/>
      <c r="N1034" s="95"/>
      <c r="O1034" s="95"/>
      <c r="P1034" s="95"/>
    </row>
    <row r="1035" spans="1:76" s="81" customFormat="1" ht="25.5" x14ac:dyDescent="0.25">
      <c r="A1035" s="110"/>
      <c r="B1035" s="95"/>
      <c r="C1035" s="95"/>
      <c r="D1035" s="76" t="s">
        <v>54</v>
      </c>
      <c r="E1035" s="76" t="s">
        <v>1131</v>
      </c>
      <c r="F1035" s="95"/>
      <c r="G1035" s="96">
        <v>0</v>
      </c>
      <c r="H1035" s="97"/>
      <c r="I1035" s="95"/>
      <c r="J1035" s="95"/>
      <c r="K1035" s="95"/>
      <c r="L1035" s="95"/>
      <c r="M1035" s="95"/>
      <c r="N1035" s="95"/>
      <c r="O1035" s="95"/>
      <c r="P1035" s="95"/>
    </row>
    <row r="1036" spans="1:76" s="81" customFormat="1" ht="25.5" x14ac:dyDescent="0.25">
      <c r="A1036" s="110"/>
      <c r="B1036" s="95"/>
      <c r="C1036" s="95"/>
      <c r="D1036" s="76" t="s">
        <v>1120</v>
      </c>
      <c r="E1036" s="76" t="s">
        <v>1121</v>
      </c>
      <c r="F1036" s="95"/>
      <c r="G1036" s="96">
        <v>44.3</v>
      </c>
      <c r="H1036" s="97"/>
      <c r="I1036" s="95"/>
      <c r="J1036" s="95"/>
      <c r="K1036" s="95"/>
      <c r="L1036" s="95"/>
      <c r="M1036" s="95"/>
      <c r="N1036" s="95"/>
      <c r="O1036" s="95"/>
      <c r="P1036" s="95"/>
    </row>
    <row r="1037" spans="1:76" s="81" customFormat="1" x14ac:dyDescent="0.25">
      <c r="A1037" s="66" t="s">
        <v>1132</v>
      </c>
      <c r="B1037" s="72" t="s">
        <v>55</v>
      </c>
      <c r="C1037" s="72" t="s">
        <v>1133</v>
      </c>
      <c r="D1037" s="174" t="s">
        <v>1134</v>
      </c>
      <c r="E1037" s="174"/>
      <c r="F1037" s="72" t="s">
        <v>62</v>
      </c>
      <c r="G1037" s="90">
        <v>214.87468000000001</v>
      </c>
      <c r="H1037" s="91"/>
      <c r="I1037" s="103">
        <v>21</v>
      </c>
      <c r="J1037" s="90">
        <f>ROUND(G1037*AO1037,2)</f>
        <v>0</v>
      </c>
      <c r="K1037" s="90">
        <f>ROUND(G1037*AP1037,2)</f>
        <v>0</v>
      </c>
      <c r="L1037" s="90">
        <f>ROUND(G1037*H1037,2)</f>
        <v>0</v>
      </c>
      <c r="M1037" s="90">
        <f>L1037*(1+BW1037/100)</f>
        <v>0</v>
      </c>
      <c r="N1037" s="90">
        <v>2.5249999999999999</v>
      </c>
      <c r="O1037" s="90">
        <f>G1037*N1037</f>
        <v>542.55856700000004</v>
      </c>
      <c r="P1037" s="92" t="s">
        <v>64</v>
      </c>
      <c r="Z1037" s="93">
        <f>ROUND(IF(AQ1037="5",BJ1037,0),2)</f>
        <v>0</v>
      </c>
      <c r="AB1037" s="93">
        <f>ROUND(IF(AQ1037="1",BH1037,0),2)</f>
        <v>0</v>
      </c>
      <c r="AC1037" s="93">
        <f>ROUND(IF(AQ1037="1",BI1037,0),2)</f>
        <v>0</v>
      </c>
      <c r="AD1037" s="93">
        <f>ROUND(IF(AQ1037="7",BH1037,0),2)</f>
        <v>0</v>
      </c>
      <c r="AE1037" s="93">
        <f>ROUND(IF(AQ1037="7",BI1037,0),2)</f>
        <v>0</v>
      </c>
      <c r="AF1037" s="93">
        <f>ROUND(IF(AQ1037="2",BH1037,0),2)</f>
        <v>0</v>
      </c>
      <c r="AG1037" s="93">
        <f>ROUND(IF(AQ1037="2",BI1037,0),2)</f>
        <v>0</v>
      </c>
      <c r="AH1037" s="93">
        <f>ROUND(IF(AQ1037="0",BJ1037,0),2)</f>
        <v>0</v>
      </c>
      <c r="AI1037" s="88" t="s">
        <v>55</v>
      </c>
      <c r="AJ1037" s="93">
        <f>IF(AN1037=0,L1037,0)</f>
        <v>0</v>
      </c>
      <c r="AK1037" s="93">
        <f>IF(AN1037=12,L1037,0)</f>
        <v>0</v>
      </c>
      <c r="AL1037" s="93">
        <f>IF(AN1037=21,L1037,0)</f>
        <v>0</v>
      </c>
      <c r="AN1037" s="93">
        <v>21</v>
      </c>
      <c r="AO1037" s="93">
        <f>H1037*0.77749016</f>
        <v>0</v>
      </c>
      <c r="AP1037" s="93">
        <f>H1037*(1-0.77749016)</f>
        <v>0</v>
      </c>
      <c r="AQ1037" s="94" t="s">
        <v>59</v>
      </c>
      <c r="AV1037" s="93">
        <f>ROUND(AW1037+AX1037,2)</f>
        <v>0</v>
      </c>
      <c r="AW1037" s="93">
        <f>ROUND(G1037*AO1037,2)</f>
        <v>0</v>
      </c>
      <c r="AX1037" s="93">
        <f>ROUND(G1037*AP1037,2)</f>
        <v>0</v>
      </c>
      <c r="AY1037" s="94" t="s">
        <v>1101</v>
      </c>
      <c r="AZ1037" s="94" t="s">
        <v>871</v>
      </c>
      <c r="BA1037" s="88" t="s">
        <v>67</v>
      </c>
      <c r="BC1037" s="93">
        <f>AW1037+AX1037</f>
        <v>0</v>
      </c>
      <c r="BD1037" s="93">
        <f>H1037/(100-BE1037)*100</f>
        <v>0</v>
      </c>
      <c r="BE1037" s="93">
        <v>0</v>
      </c>
      <c r="BF1037" s="93">
        <f>O1037</f>
        <v>542.55856700000004</v>
      </c>
      <c r="BH1037" s="93">
        <f>G1037*AO1037</f>
        <v>0</v>
      </c>
      <c r="BI1037" s="93">
        <f>G1037*AP1037</f>
        <v>0</v>
      </c>
      <c r="BJ1037" s="93">
        <f>G1037*H1037</f>
        <v>0</v>
      </c>
      <c r="BK1037" s="93"/>
      <c r="BL1037" s="93">
        <v>63</v>
      </c>
      <c r="BW1037" s="93">
        <f>I1037</f>
        <v>21</v>
      </c>
      <c r="BX1037" s="2" t="s">
        <v>1134</v>
      </c>
    </row>
    <row r="1038" spans="1:76" s="81" customFormat="1" x14ac:dyDescent="0.25">
      <c r="A1038" s="110"/>
      <c r="B1038" s="95"/>
      <c r="C1038" s="95"/>
      <c r="D1038" s="76" t="s">
        <v>54</v>
      </c>
      <c r="E1038" s="76" t="s">
        <v>1135</v>
      </c>
      <c r="F1038" s="95"/>
      <c r="G1038" s="96">
        <v>0</v>
      </c>
      <c r="H1038" s="97"/>
      <c r="I1038" s="95"/>
      <c r="J1038" s="95"/>
      <c r="K1038" s="95"/>
      <c r="L1038" s="95"/>
      <c r="M1038" s="95"/>
      <c r="N1038" s="95"/>
      <c r="O1038" s="95"/>
      <c r="P1038" s="95"/>
    </row>
    <row r="1039" spans="1:76" s="81" customFormat="1" x14ac:dyDescent="0.25">
      <c r="A1039" s="110"/>
      <c r="B1039" s="95"/>
      <c r="C1039" s="95"/>
      <c r="D1039" s="76" t="s">
        <v>1136</v>
      </c>
      <c r="E1039" s="76" t="s">
        <v>54</v>
      </c>
      <c r="F1039" s="95"/>
      <c r="G1039" s="96">
        <v>133.60786999999999</v>
      </c>
      <c r="H1039" s="97"/>
      <c r="I1039" s="95"/>
      <c r="J1039" s="95"/>
      <c r="K1039" s="95"/>
      <c r="L1039" s="95"/>
      <c r="M1039" s="95"/>
      <c r="N1039" s="95"/>
      <c r="O1039" s="95"/>
      <c r="P1039" s="95"/>
    </row>
    <row r="1040" spans="1:76" s="81" customFormat="1" x14ac:dyDescent="0.25">
      <c r="A1040" s="110"/>
      <c r="B1040" s="95"/>
      <c r="C1040" s="95"/>
      <c r="D1040" s="76" t="s">
        <v>54</v>
      </c>
      <c r="E1040" s="76" t="s">
        <v>1137</v>
      </c>
      <c r="F1040" s="95"/>
      <c r="G1040" s="96">
        <v>0</v>
      </c>
      <c r="H1040" s="97"/>
      <c r="I1040" s="95"/>
      <c r="J1040" s="95"/>
      <c r="K1040" s="95"/>
      <c r="L1040" s="95"/>
      <c r="M1040" s="95"/>
      <c r="N1040" s="95"/>
      <c r="O1040" s="95"/>
      <c r="P1040" s="95"/>
    </row>
    <row r="1041" spans="1:76" s="81" customFormat="1" x14ac:dyDescent="0.25">
      <c r="A1041" s="110"/>
      <c r="B1041" s="95"/>
      <c r="C1041" s="95"/>
      <c r="D1041" s="76" t="s">
        <v>1138</v>
      </c>
      <c r="E1041" s="76" t="s">
        <v>1139</v>
      </c>
      <c r="F1041" s="95"/>
      <c r="G1041" s="96">
        <v>0.94140000000000001</v>
      </c>
      <c r="H1041" s="97"/>
      <c r="I1041" s="95"/>
      <c r="J1041" s="95"/>
      <c r="K1041" s="95"/>
      <c r="L1041" s="95"/>
      <c r="M1041" s="95"/>
      <c r="N1041" s="95"/>
      <c r="O1041" s="95"/>
      <c r="P1041" s="95"/>
    </row>
    <row r="1042" spans="1:76" s="81" customFormat="1" ht="25.5" x14ac:dyDescent="0.25">
      <c r="A1042" s="110"/>
      <c r="B1042" s="95"/>
      <c r="C1042" s="95"/>
      <c r="D1042" s="76" t="s">
        <v>1140</v>
      </c>
      <c r="E1042" s="76" t="s">
        <v>1141</v>
      </c>
      <c r="F1042" s="95"/>
      <c r="G1042" s="96">
        <v>0.99023000000000005</v>
      </c>
      <c r="H1042" s="97"/>
      <c r="I1042" s="95"/>
      <c r="J1042" s="95"/>
      <c r="K1042" s="95"/>
      <c r="L1042" s="95"/>
      <c r="M1042" s="95"/>
      <c r="N1042" s="95"/>
      <c r="O1042" s="95"/>
      <c r="P1042" s="95"/>
    </row>
    <row r="1043" spans="1:76" s="81" customFormat="1" x14ac:dyDescent="0.25">
      <c r="A1043" s="110"/>
      <c r="B1043" s="95"/>
      <c r="C1043" s="95"/>
      <c r="D1043" s="76" t="s">
        <v>54</v>
      </c>
      <c r="E1043" s="76" t="s">
        <v>1142</v>
      </c>
      <c r="F1043" s="95"/>
      <c r="G1043" s="96">
        <v>0</v>
      </c>
      <c r="H1043" s="97"/>
      <c r="I1043" s="95"/>
      <c r="J1043" s="95"/>
      <c r="K1043" s="95"/>
      <c r="L1043" s="95"/>
      <c r="M1043" s="95"/>
      <c r="N1043" s="95"/>
      <c r="O1043" s="95"/>
      <c r="P1043" s="95"/>
    </row>
    <row r="1044" spans="1:76" s="81" customFormat="1" x14ac:dyDescent="0.25">
      <c r="A1044" s="110"/>
      <c r="B1044" s="95"/>
      <c r="C1044" s="95"/>
      <c r="D1044" s="76" t="s">
        <v>1143</v>
      </c>
      <c r="E1044" s="76" t="s">
        <v>54</v>
      </c>
      <c r="F1044" s="95"/>
      <c r="G1044" s="96">
        <v>1.9754100000000001</v>
      </c>
      <c r="H1044" s="97"/>
      <c r="I1044" s="95"/>
      <c r="J1044" s="95"/>
      <c r="K1044" s="95"/>
      <c r="L1044" s="95"/>
      <c r="M1044" s="95"/>
      <c r="N1044" s="95"/>
      <c r="O1044" s="95"/>
      <c r="P1044" s="95"/>
    </row>
    <row r="1045" spans="1:76" s="81" customFormat="1" x14ac:dyDescent="0.25">
      <c r="A1045" s="110"/>
      <c r="B1045" s="95"/>
      <c r="C1045" s="95"/>
      <c r="D1045" s="76" t="s">
        <v>1144</v>
      </c>
      <c r="E1045" s="76" t="s">
        <v>1145</v>
      </c>
      <c r="F1045" s="95"/>
      <c r="G1045" s="96">
        <v>3.94977</v>
      </c>
      <c r="H1045" s="97"/>
      <c r="I1045" s="95"/>
      <c r="J1045" s="95"/>
      <c r="K1045" s="95"/>
      <c r="L1045" s="95"/>
      <c r="M1045" s="95"/>
      <c r="N1045" s="95"/>
      <c r="O1045" s="95"/>
      <c r="P1045" s="95"/>
    </row>
    <row r="1046" spans="1:76" s="81" customFormat="1" x14ac:dyDescent="0.25">
      <c r="A1046" s="110"/>
      <c r="B1046" s="95"/>
      <c r="C1046" s="95"/>
      <c r="D1046" s="76" t="s">
        <v>54</v>
      </c>
      <c r="E1046" s="76" t="s">
        <v>1146</v>
      </c>
      <c r="F1046" s="95"/>
      <c r="G1046" s="96">
        <v>0</v>
      </c>
      <c r="H1046" s="97"/>
      <c r="I1046" s="95"/>
      <c r="J1046" s="95"/>
      <c r="K1046" s="95"/>
      <c r="L1046" s="95"/>
      <c r="M1046" s="95"/>
      <c r="N1046" s="95"/>
      <c r="O1046" s="95"/>
      <c r="P1046" s="95"/>
    </row>
    <row r="1047" spans="1:76" s="81" customFormat="1" x14ac:dyDescent="0.25">
      <c r="A1047" s="110"/>
      <c r="B1047" s="95"/>
      <c r="C1047" s="95"/>
      <c r="D1047" s="76" t="s">
        <v>1147</v>
      </c>
      <c r="E1047" s="76" t="s">
        <v>54</v>
      </c>
      <c r="F1047" s="95"/>
      <c r="G1047" s="96">
        <v>73.41</v>
      </c>
      <c r="H1047" s="97"/>
      <c r="I1047" s="95"/>
      <c r="J1047" s="95"/>
      <c r="K1047" s="95"/>
      <c r="L1047" s="95"/>
      <c r="M1047" s="95"/>
      <c r="N1047" s="95"/>
      <c r="O1047" s="95"/>
      <c r="P1047" s="95"/>
    </row>
    <row r="1048" spans="1:76" s="81" customFormat="1" x14ac:dyDescent="0.25">
      <c r="A1048" s="66" t="s">
        <v>1148</v>
      </c>
      <c r="B1048" s="72" t="s">
        <v>55</v>
      </c>
      <c r="C1048" s="72" t="s">
        <v>1149</v>
      </c>
      <c r="D1048" s="174" t="s">
        <v>1150</v>
      </c>
      <c r="E1048" s="174"/>
      <c r="F1048" s="72" t="s">
        <v>62</v>
      </c>
      <c r="G1048" s="90">
        <v>214.87468000000001</v>
      </c>
      <c r="H1048" s="91"/>
      <c r="I1048" s="103">
        <v>21</v>
      </c>
      <c r="J1048" s="90">
        <f>ROUND(G1048*AO1048,2)</f>
        <v>0</v>
      </c>
      <c r="K1048" s="90">
        <f>ROUND(G1048*AP1048,2)</f>
        <v>0</v>
      </c>
      <c r="L1048" s="90">
        <f>ROUND(G1048*H1048,2)</f>
        <v>0</v>
      </c>
      <c r="M1048" s="90">
        <f>L1048*(1+BW1048/100)</f>
        <v>0</v>
      </c>
      <c r="N1048" s="90">
        <v>0</v>
      </c>
      <c r="O1048" s="90">
        <f>G1048*N1048</f>
        <v>0</v>
      </c>
      <c r="P1048" s="92" t="s">
        <v>64</v>
      </c>
      <c r="Z1048" s="93">
        <f>ROUND(IF(AQ1048="5",BJ1048,0),2)</f>
        <v>0</v>
      </c>
      <c r="AB1048" s="93">
        <f>ROUND(IF(AQ1048="1",BH1048,0),2)</f>
        <v>0</v>
      </c>
      <c r="AC1048" s="93">
        <f>ROUND(IF(AQ1048="1",BI1048,0),2)</f>
        <v>0</v>
      </c>
      <c r="AD1048" s="93">
        <f>ROUND(IF(AQ1048="7",BH1048,0),2)</f>
        <v>0</v>
      </c>
      <c r="AE1048" s="93">
        <f>ROUND(IF(AQ1048="7",BI1048,0),2)</f>
        <v>0</v>
      </c>
      <c r="AF1048" s="93">
        <f>ROUND(IF(AQ1048="2",BH1048,0),2)</f>
        <v>0</v>
      </c>
      <c r="AG1048" s="93">
        <f>ROUND(IF(AQ1048="2",BI1048,0),2)</f>
        <v>0</v>
      </c>
      <c r="AH1048" s="93">
        <f>ROUND(IF(AQ1048="0",BJ1048,0),2)</f>
        <v>0</v>
      </c>
      <c r="AI1048" s="88" t="s">
        <v>55</v>
      </c>
      <c r="AJ1048" s="93">
        <f>IF(AN1048=0,L1048,0)</f>
        <v>0</v>
      </c>
      <c r="AK1048" s="93">
        <f>IF(AN1048=12,L1048,0)</f>
        <v>0</v>
      </c>
      <c r="AL1048" s="93">
        <f>IF(AN1048=21,L1048,0)</f>
        <v>0</v>
      </c>
      <c r="AN1048" s="93">
        <v>21</v>
      </c>
      <c r="AO1048" s="93">
        <f>H1048*0</f>
        <v>0</v>
      </c>
      <c r="AP1048" s="93">
        <f>H1048*(1-0)</f>
        <v>0</v>
      </c>
      <c r="AQ1048" s="94" t="s">
        <v>59</v>
      </c>
      <c r="AV1048" s="93">
        <f>ROUND(AW1048+AX1048,2)</f>
        <v>0</v>
      </c>
      <c r="AW1048" s="93">
        <f>ROUND(G1048*AO1048,2)</f>
        <v>0</v>
      </c>
      <c r="AX1048" s="93">
        <f>ROUND(G1048*AP1048,2)</f>
        <v>0</v>
      </c>
      <c r="AY1048" s="94" t="s">
        <v>1101</v>
      </c>
      <c r="AZ1048" s="94" t="s">
        <v>871</v>
      </c>
      <c r="BA1048" s="88" t="s">
        <v>67</v>
      </c>
      <c r="BC1048" s="93">
        <f>AW1048+AX1048</f>
        <v>0</v>
      </c>
      <c r="BD1048" s="93">
        <f>H1048/(100-BE1048)*100</f>
        <v>0</v>
      </c>
      <c r="BE1048" s="93">
        <v>0</v>
      </c>
      <c r="BF1048" s="93">
        <f>O1048</f>
        <v>0</v>
      </c>
      <c r="BH1048" s="93">
        <f>G1048*AO1048</f>
        <v>0</v>
      </c>
      <c r="BI1048" s="93">
        <f>G1048*AP1048</f>
        <v>0</v>
      </c>
      <c r="BJ1048" s="93">
        <f>G1048*H1048</f>
        <v>0</v>
      </c>
      <c r="BK1048" s="93"/>
      <c r="BL1048" s="93">
        <v>63</v>
      </c>
      <c r="BW1048" s="93">
        <f>I1048</f>
        <v>21</v>
      </c>
      <c r="BX1048" s="2" t="s">
        <v>1150</v>
      </c>
    </row>
    <row r="1049" spans="1:76" s="81" customFormat="1" x14ac:dyDescent="0.25">
      <c r="A1049" s="66" t="s">
        <v>1151</v>
      </c>
      <c r="B1049" s="72" t="s">
        <v>55</v>
      </c>
      <c r="C1049" s="72" t="s">
        <v>1152</v>
      </c>
      <c r="D1049" s="174" t="s">
        <v>1153</v>
      </c>
      <c r="E1049" s="174"/>
      <c r="F1049" s="72" t="s">
        <v>62</v>
      </c>
      <c r="G1049" s="90">
        <v>214.87468000000001</v>
      </c>
      <c r="H1049" s="91"/>
      <c r="I1049" s="103">
        <v>21</v>
      </c>
      <c r="J1049" s="90">
        <f>ROUND(G1049*AO1049,2)</f>
        <v>0</v>
      </c>
      <c r="K1049" s="90">
        <f>ROUND(G1049*AP1049,2)</f>
        <v>0</v>
      </c>
      <c r="L1049" s="90">
        <f>ROUND(G1049*H1049,2)</f>
        <v>0</v>
      </c>
      <c r="M1049" s="90">
        <f>L1049*(1+BW1049/100)</f>
        <v>0</v>
      </c>
      <c r="N1049" s="90">
        <v>0</v>
      </c>
      <c r="O1049" s="90">
        <f>G1049*N1049</f>
        <v>0</v>
      </c>
      <c r="P1049" s="92" t="s">
        <v>64</v>
      </c>
      <c r="Z1049" s="93">
        <f>ROUND(IF(AQ1049="5",BJ1049,0),2)</f>
        <v>0</v>
      </c>
      <c r="AB1049" s="93">
        <f>ROUND(IF(AQ1049="1",BH1049,0),2)</f>
        <v>0</v>
      </c>
      <c r="AC1049" s="93">
        <f>ROUND(IF(AQ1049="1",BI1049,0),2)</f>
        <v>0</v>
      </c>
      <c r="AD1049" s="93">
        <f>ROUND(IF(AQ1049="7",BH1049,0),2)</f>
        <v>0</v>
      </c>
      <c r="AE1049" s="93">
        <f>ROUND(IF(AQ1049="7",BI1049,0),2)</f>
        <v>0</v>
      </c>
      <c r="AF1049" s="93">
        <f>ROUND(IF(AQ1049="2",BH1049,0),2)</f>
        <v>0</v>
      </c>
      <c r="AG1049" s="93">
        <f>ROUND(IF(AQ1049="2",BI1049,0),2)</f>
        <v>0</v>
      </c>
      <c r="AH1049" s="93">
        <f>ROUND(IF(AQ1049="0",BJ1049,0),2)</f>
        <v>0</v>
      </c>
      <c r="AI1049" s="88" t="s">
        <v>55</v>
      </c>
      <c r="AJ1049" s="93">
        <f>IF(AN1049=0,L1049,0)</f>
        <v>0</v>
      </c>
      <c r="AK1049" s="93">
        <f>IF(AN1049=12,L1049,0)</f>
        <v>0</v>
      </c>
      <c r="AL1049" s="93">
        <f>IF(AN1049=21,L1049,0)</f>
        <v>0</v>
      </c>
      <c r="AN1049" s="93">
        <v>21</v>
      </c>
      <c r="AO1049" s="93">
        <f>H1049*0</f>
        <v>0</v>
      </c>
      <c r="AP1049" s="93">
        <f>H1049*(1-0)</f>
        <v>0</v>
      </c>
      <c r="AQ1049" s="94" t="s">
        <v>59</v>
      </c>
      <c r="AV1049" s="93">
        <f>ROUND(AW1049+AX1049,2)</f>
        <v>0</v>
      </c>
      <c r="AW1049" s="93">
        <f>ROUND(G1049*AO1049,2)</f>
        <v>0</v>
      </c>
      <c r="AX1049" s="93">
        <f>ROUND(G1049*AP1049,2)</f>
        <v>0</v>
      </c>
      <c r="AY1049" s="94" t="s">
        <v>1101</v>
      </c>
      <c r="AZ1049" s="94" t="s">
        <v>871</v>
      </c>
      <c r="BA1049" s="88" t="s">
        <v>67</v>
      </c>
      <c r="BC1049" s="93">
        <f>AW1049+AX1049</f>
        <v>0</v>
      </c>
      <c r="BD1049" s="93">
        <f>H1049/(100-BE1049)*100</f>
        <v>0</v>
      </c>
      <c r="BE1049" s="93">
        <v>0</v>
      </c>
      <c r="BF1049" s="93">
        <f>O1049</f>
        <v>0</v>
      </c>
      <c r="BH1049" s="93">
        <f>G1049*AO1049</f>
        <v>0</v>
      </c>
      <c r="BI1049" s="93">
        <f>G1049*AP1049</f>
        <v>0</v>
      </c>
      <c r="BJ1049" s="93">
        <f>G1049*H1049</f>
        <v>0</v>
      </c>
      <c r="BK1049" s="93"/>
      <c r="BL1049" s="93">
        <v>63</v>
      </c>
      <c r="BW1049" s="93">
        <f>I1049</f>
        <v>21</v>
      </c>
      <c r="BX1049" s="2" t="s">
        <v>1153</v>
      </c>
    </row>
    <row r="1050" spans="1:76" s="81" customFormat="1" x14ac:dyDescent="0.25">
      <c r="A1050" s="66" t="s">
        <v>1154</v>
      </c>
      <c r="B1050" s="72" t="s">
        <v>55</v>
      </c>
      <c r="C1050" s="72" t="s">
        <v>1155</v>
      </c>
      <c r="D1050" s="174" t="s">
        <v>1156</v>
      </c>
      <c r="E1050" s="174"/>
      <c r="F1050" s="72" t="s">
        <v>222</v>
      </c>
      <c r="G1050" s="90">
        <v>8.9773499999999995</v>
      </c>
      <c r="H1050" s="91"/>
      <c r="I1050" s="103">
        <v>21</v>
      </c>
      <c r="J1050" s="90">
        <f>ROUND(G1050*AO1050,2)</f>
        <v>0</v>
      </c>
      <c r="K1050" s="90">
        <f>ROUND(G1050*AP1050,2)</f>
        <v>0</v>
      </c>
      <c r="L1050" s="90">
        <f>ROUND(G1050*H1050,2)</f>
        <v>0</v>
      </c>
      <c r="M1050" s="90">
        <f>L1050*(1+BW1050/100)</f>
        <v>0</v>
      </c>
      <c r="N1050" s="90">
        <v>1.0662499999999999</v>
      </c>
      <c r="O1050" s="90">
        <f>G1050*N1050</f>
        <v>9.5720994374999986</v>
      </c>
      <c r="P1050" s="92" t="s">
        <v>64</v>
      </c>
      <c r="Z1050" s="93">
        <f>ROUND(IF(AQ1050="5",BJ1050,0),2)</f>
        <v>0</v>
      </c>
      <c r="AB1050" s="93">
        <f>ROUND(IF(AQ1050="1",BH1050,0),2)</f>
        <v>0</v>
      </c>
      <c r="AC1050" s="93">
        <f>ROUND(IF(AQ1050="1",BI1050,0),2)</f>
        <v>0</v>
      </c>
      <c r="AD1050" s="93">
        <f>ROUND(IF(AQ1050="7",BH1050,0),2)</f>
        <v>0</v>
      </c>
      <c r="AE1050" s="93">
        <f>ROUND(IF(AQ1050="7",BI1050,0),2)</f>
        <v>0</v>
      </c>
      <c r="AF1050" s="93">
        <f>ROUND(IF(AQ1050="2",BH1050,0),2)</f>
        <v>0</v>
      </c>
      <c r="AG1050" s="93">
        <f>ROUND(IF(AQ1050="2",BI1050,0),2)</f>
        <v>0</v>
      </c>
      <c r="AH1050" s="93">
        <f>ROUND(IF(AQ1050="0",BJ1050,0),2)</f>
        <v>0</v>
      </c>
      <c r="AI1050" s="88" t="s">
        <v>55</v>
      </c>
      <c r="AJ1050" s="93">
        <f>IF(AN1050=0,L1050,0)</f>
        <v>0</v>
      </c>
      <c r="AK1050" s="93">
        <f>IF(AN1050=12,L1050,0)</f>
        <v>0</v>
      </c>
      <c r="AL1050" s="93">
        <f>IF(AN1050=21,L1050,0)</f>
        <v>0</v>
      </c>
      <c r="AN1050" s="93">
        <v>21</v>
      </c>
      <c r="AO1050" s="93">
        <f>H1050*0.783669832</f>
        <v>0</v>
      </c>
      <c r="AP1050" s="93">
        <f>H1050*(1-0.783669832)</f>
        <v>0</v>
      </c>
      <c r="AQ1050" s="94" t="s">
        <v>59</v>
      </c>
      <c r="AV1050" s="93">
        <f>ROUND(AW1050+AX1050,2)</f>
        <v>0</v>
      </c>
      <c r="AW1050" s="93">
        <f>ROUND(G1050*AO1050,2)</f>
        <v>0</v>
      </c>
      <c r="AX1050" s="93">
        <f>ROUND(G1050*AP1050,2)</f>
        <v>0</v>
      </c>
      <c r="AY1050" s="94" t="s">
        <v>1101</v>
      </c>
      <c r="AZ1050" s="94" t="s">
        <v>871</v>
      </c>
      <c r="BA1050" s="88" t="s">
        <v>67</v>
      </c>
      <c r="BC1050" s="93">
        <f>AW1050+AX1050</f>
        <v>0</v>
      </c>
      <c r="BD1050" s="93">
        <f>H1050/(100-BE1050)*100</f>
        <v>0</v>
      </c>
      <c r="BE1050" s="93">
        <v>0</v>
      </c>
      <c r="BF1050" s="93">
        <f>O1050</f>
        <v>9.5720994374999986</v>
      </c>
      <c r="BH1050" s="93">
        <f>G1050*AO1050</f>
        <v>0</v>
      </c>
      <c r="BI1050" s="93">
        <f>G1050*AP1050</f>
        <v>0</v>
      </c>
      <c r="BJ1050" s="93">
        <f>G1050*H1050</f>
        <v>0</v>
      </c>
      <c r="BK1050" s="93"/>
      <c r="BL1050" s="93">
        <v>63</v>
      </c>
      <c r="BW1050" s="93">
        <f>I1050</f>
        <v>21</v>
      </c>
      <c r="BX1050" s="2" t="s">
        <v>1156</v>
      </c>
    </row>
    <row r="1051" spans="1:76" s="81" customFormat="1" x14ac:dyDescent="0.25">
      <c r="A1051" s="110"/>
      <c r="B1051" s="95"/>
      <c r="C1051" s="95"/>
      <c r="D1051" s="76" t="s">
        <v>54</v>
      </c>
      <c r="E1051" s="76" t="s">
        <v>225</v>
      </c>
      <c r="F1051" s="95"/>
      <c r="G1051" s="96">
        <v>0</v>
      </c>
      <c r="H1051" s="97"/>
      <c r="I1051" s="95"/>
      <c r="J1051" s="95"/>
      <c r="K1051" s="95"/>
      <c r="L1051" s="95"/>
      <c r="M1051" s="95"/>
      <c r="N1051" s="95"/>
      <c r="O1051" s="95"/>
      <c r="P1051" s="95"/>
    </row>
    <row r="1052" spans="1:76" s="81" customFormat="1" x14ac:dyDescent="0.25">
      <c r="A1052" s="110"/>
      <c r="B1052" s="95"/>
      <c r="C1052" s="95"/>
      <c r="D1052" s="76" t="s">
        <v>1157</v>
      </c>
      <c r="E1052" s="76" t="s">
        <v>54</v>
      </c>
      <c r="F1052" s="95"/>
      <c r="G1052" s="96">
        <v>2.1760000000000002</v>
      </c>
      <c r="H1052" s="97"/>
      <c r="I1052" s="95"/>
      <c r="J1052" s="95"/>
      <c r="K1052" s="95"/>
      <c r="L1052" s="95"/>
      <c r="M1052" s="95"/>
      <c r="N1052" s="95"/>
      <c r="O1052" s="95"/>
      <c r="P1052" s="95"/>
    </row>
    <row r="1053" spans="1:76" s="81" customFormat="1" x14ac:dyDescent="0.25">
      <c r="A1053" s="110"/>
      <c r="B1053" s="95"/>
      <c r="C1053" s="95"/>
      <c r="D1053" s="76" t="s">
        <v>54</v>
      </c>
      <c r="E1053" s="76" t="s">
        <v>1135</v>
      </c>
      <c r="F1053" s="95"/>
      <c r="G1053" s="96">
        <v>0</v>
      </c>
      <c r="H1053" s="97"/>
      <c r="I1053" s="95"/>
      <c r="J1053" s="95"/>
      <c r="K1053" s="95"/>
      <c r="L1053" s="95"/>
      <c r="M1053" s="95"/>
      <c r="N1053" s="95"/>
      <c r="O1053" s="95"/>
      <c r="P1053" s="95"/>
    </row>
    <row r="1054" spans="1:76" s="81" customFormat="1" x14ac:dyDescent="0.25">
      <c r="A1054" s="110"/>
      <c r="B1054" s="95"/>
      <c r="C1054" s="95"/>
      <c r="D1054" s="76" t="s">
        <v>1158</v>
      </c>
      <c r="E1054" s="76" t="s">
        <v>54</v>
      </c>
      <c r="F1054" s="95"/>
      <c r="G1054" s="96">
        <v>6.5472700000000001</v>
      </c>
      <c r="H1054" s="97"/>
      <c r="I1054" s="95"/>
      <c r="J1054" s="95"/>
      <c r="K1054" s="95"/>
      <c r="L1054" s="95"/>
      <c r="M1054" s="95"/>
      <c r="N1054" s="95"/>
      <c r="O1054" s="95"/>
      <c r="P1054" s="95"/>
    </row>
    <row r="1055" spans="1:76" s="81" customFormat="1" x14ac:dyDescent="0.25">
      <c r="A1055" s="110"/>
      <c r="B1055" s="95"/>
      <c r="C1055" s="95"/>
      <c r="D1055" s="76" t="s">
        <v>1159</v>
      </c>
      <c r="E1055" s="76" t="s">
        <v>54</v>
      </c>
      <c r="F1055" s="95"/>
      <c r="G1055" s="96">
        <v>4.0669999999999998E-2</v>
      </c>
      <c r="H1055" s="97"/>
      <c r="I1055" s="95"/>
      <c r="J1055" s="95"/>
      <c r="K1055" s="95"/>
      <c r="L1055" s="95"/>
      <c r="M1055" s="95"/>
      <c r="N1055" s="95"/>
      <c r="O1055" s="95"/>
      <c r="P1055" s="95"/>
    </row>
    <row r="1056" spans="1:76" s="81" customFormat="1" ht="25.5" x14ac:dyDescent="0.25">
      <c r="A1056" s="110"/>
      <c r="B1056" s="95"/>
      <c r="C1056" s="95"/>
      <c r="D1056" s="76" t="s">
        <v>1160</v>
      </c>
      <c r="E1056" s="76" t="s">
        <v>54</v>
      </c>
      <c r="F1056" s="95"/>
      <c r="G1056" s="96">
        <v>4.2779999999999999E-2</v>
      </c>
      <c r="H1056" s="97"/>
      <c r="I1056" s="95"/>
      <c r="J1056" s="95"/>
      <c r="K1056" s="95"/>
      <c r="L1056" s="95"/>
      <c r="M1056" s="95"/>
      <c r="N1056" s="95"/>
      <c r="O1056" s="95"/>
      <c r="P1056" s="95"/>
    </row>
    <row r="1057" spans="1:76" s="81" customFormat="1" x14ac:dyDescent="0.25">
      <c r="A1057" s="110"/>
      <c r="B1057" s="95"/>
      <c r="C1057" s="95"/>
      <c r="D1057" s="76" t="s">
        <v>1161</v>
      </c>
      <c r="E1057" s="76" t="s">
        <v>54</v>
      </c>
      <c r="F1057" s="95"/>
      <c r="G1057" s="96">
        <v>0.17063</v>
      </c>
      <c r="H1057" s="97"/>
      <c r="I1057" s="95"/>
      <c r="J1057" s="95"/>
      <c r="K1057" s="95"/>
      <c r="L1057" s="95"/>
      <c r="M1057" s="95"/>
      <c r="N1057" s="95"/>
      <c r="O1057" s="95"/>
      <c r="P1057" s="95"/>
    </row>
    <row r="1058" spans="1:76" s="81" customFormat="1" x14ac:dyDescent="0.25">
      <c r="A1058" s="66" t="s">
        <v>1162</v>
      </c>
      <c r="B1058" s="72" t="s">
        <v>55</v>
      </c>
      <c r="C1058" s="72" t="s">
        <v>1163</v>
      </c>
      <c r="D1058" s="174" t="s">
        <v>1164</v>
      </c>
      <c r="E1058" s="174"/>
      <c r="F1058" s="72" t="s">
        <v>192</v>
      </c>
      <c r="G1058" s="90">
        <v>39.244709999999998</v>
      </c>
      <c r="H1058" s="91"/>
      <c r="I1058" s="103">
        <v>21</v>
      </c>
      <c r="J1058" s="90">
        <f>ROUND(G1058*AO1058,2)</f>
        <v>0</v>
      </c>
      <c r="K1058" s="90">
        <f>ROUND(G1058*AP1058,2)</f>
        <v>0</v>
      </c>
      <c r="L1058" s="90">
        <f>ROUND(G1058*H1058,2)</f>
        <v>0</v>
      </c>
      <c r="M1058" s="90">
        <f>L1058*(1+BW1058/100)</f>
        <v>0</v>
      </c>
      <c r="N1058" s="90">
        <v>1.41E-2</v>
      </c>
      <c r="O1058" s="90">
        <f>G1058*N1058</f>
        <v>0.55335041099999993</v>
      </c>
      <c r="P1058" s="92" t="s">
        <v>64</v>
      </c>
      <c r="Z1058" s="93">
        <f>ROUND(IF(AQ1058="5",BJ1058,0),2)</f>
        <v>0</v>
      </c>
      <c r="AB1058" s="93">
        <f>ROUND(IF(AQ1058="1",BH1058,0),2)</f>
        <v>0</v>
      </c>
      <c r="AC1058" s="93">
        <f>ROUND(IF(AQ1058="1",BI1058,0),2)</f>
        <v>0</v>
      </c>
      <c r="AD1058" s="93">
        <f>ROUND(IF(AQ1058="7",BH1058,0),2)</f>
        <v>0</v>
      </c>
      <c r="AE1058" s="93">
        <f>ROUND(IF(AQ1058="7",BI1058,0),2)</f>
        <v>0</v>
      </c>
      <c r="AF1058" s="93">
        <f>ROUND(IF(AQ1058="2",BH1058,0),2)</f>
        <v>0</v>
      </c>
      <c r="AG1058" s="93">
        <f>ROUND(IF(AQ1058="2",BI1058,0),2)</f>
        <v>0</v>
      </c>
      <c r="AH1058" s="93">
        <f>ROUND(IF(AQ1058="0",BJ1058,0),2)</f>
        <v>0</v>
      </c>
      <c r="AI1058" s="88" t="s">
        <v>55</v>
      </c>
      <c r="AJ1058" s="93">
        <f>IF(AN1058=0,L1058,0)</f>
        <v>0</v>
      </c>
      <c r="AK1058" s="93">
        <f>IF(AN1058=12,L1058,0)</f>
        <v>0</v>
      </c>
      <c r="AL1058" s="93">
        <f>IF(AN1058=21,L1058,0)</f>
        <v>0</v>
      </c>
      <c r="AN1058" s="93">
        <v>21</v>
      </c>
      <c r="AO1058" s="93">
        <f>H1058*0.460425455</f>
        <v>0</v>
      </c>
      <c r="AP1058" s="93">
        <f>H1058*(1-0.460425455)</f>
        <v>0</v>
      </c>
      <c r="AQ1058" s="94" t="s">
        <v>59</v>
      </c>
      <c r="AV1058" s="93">
        <f>ROUND(AW1058+AX1058,2)</f>
        <v>0</v>
      </c>
      <c r="AW1058" s="93">
        <f>ROUND(G1058*AO1058,2)</f>
        <v>0</v>
      </c>
      <c r="AX1058" s="93">
        <f>ROUND(G1058*AP1058,2)</f>
        <v>0</v>
      </c>
      <c r="AY1058" s="94" t="s">
        <v>1101</v>
      </c>
      <c r="AZ1058" s="94" t="s">
        <v>871</v>
      </c>
      <c r="BA1058" s="88" t="s">
        <v>67</v>
      </c>
      <c r="BC1058" s="93">
        <f>AW1058+AX1058</f>
        <v>0</v>
      </c>
      <c r="BD1058" s="93">
        <f>H1058/(100-BE1058)*100</f>
        <v>0</v>
      </c>
      <c r="BE1058" s="93">
        <v>0</v>
      </c>
      <c r="BF1058" s="93">
        <f>O1058</f>
        <v>0.55335041099999993</v>
      </c>
      <c r="BH1058" s="93">
        <f>G1058*AO1058</f>
        <v>0</v>
      </c>
      <c r="BI1058" s="93">
        <f>G1058*AP1058</f>
        <v>0</v>
      </c>
      <c r="BJ1058" s="93">
        <f>G1058*H1058</f>
        <v>0</v>
      </c>
      <c r="BK1058" s="93"/>
      <c r="BL1058" s="93">
        <v>63</v>
      </c>
      <c r="BW1058" s="93">
        <f>I1058</f>
        <v>21</v>
      </c>
      <c r="BX1058" s="2" t="s">
        <v>1164</v>
      </c>
    </row>
    <row r="1059" spans="1:76" s="81" customFormat="1" x14ac:dyDescent="0.25">
      <c r="A1059" s="110"/>
      <c r="B1059" s="95"/>
      <c r="C1059" s="95"/>
      <c r="D1059" s="76" t="s">
        <v>54</v>
      </c>
      <c r="E1059" s="76" t="s">
        <v>1135</v>
      </c>
      <c r="F1059" s="95"/>
      <c r="G1059" s="96">
        <v>0</v>
      </c>
      <c r="H1059" s="97"/>
      <c r="I1059" s="95"/>
      <c r="J1059" s="95"/>
      <c r="K1059" s="95"/>
      <c r="L1059" s="95"/>
      <c r="M1059" s="95"/>
      <c r="N1059" s="95"/>
      <c r="O1059" s="95"/>
      <c r="P1059" s="95"/>
    </row>
    <row r="1060" spans="1:76" s="81" customFormat="1" x14ac:dyDescent="0.25">
      <c r="A1060" s="110"/>
      <c r="B1060" s="95"/>
      <c r="C1060" s="95"/>
      <c r="D1060" s="76" t="s">
        <v>1165</v>
      </c>
      <c r="E1060" s="76" t="s">
        <v>54</v>
      </c>
      <c r="F1060" s="95"/>
      <c r="G1060" s="96">
        <v>27.052710000000001</v>
      </c>
      <c r="H1060" s="97"/>
      <c r="I1060" s="95"/>
      <c r="J1060" s="95"/>
      <c r="K1060" s="95"/>
      <c r="L1060" s="95"/>
      <c r="M1060" s="95"/>
      <c r="N1060" s="95"/>
      <c r="O1060" s="95"/>
      <c r="P1060" s="95"/>
    </row>
    <row r="1061" spans="1:76" s="81" customFormat="1" x14ac:dyDescent="0.25">
      <c r="A1061" s="110"/>
      <c r="B1061" s="95"/>
      <c r="C1061" s="95"/>
      <c r="D1061" s="76" t="s">
        <v>1166</v>
      </c>
      <c r="E1061" s="76" t="s">
        <v>54</v>
      </c>
      <c r="F1061" s="95"/>
      <c r="G1061" s="96">
        <v>12.192</v>
      </c>
      <c r="H1061" s="97"/>
      <c r="I1061" s="95"/>
      <c r="J1061" s="95"/>
      <c r="K1061" s="95"/>
      <c r="L1061" s="95"/>
      <c r="M1061" s="95"/>
      <c r="N1061" s="95"/>
      <c r="O1061" s="95"/>
      <c r="P1061" s="95"/>
    </row>
    <row r="1062" spans="1:76" s="81" customFormat="1" x14ac:dyDescent="0.25">
      <c r="A1062" s="66" t="s">
        <v>1167</v>
      </c>
      <c r="B1062" s="72" t="s">
        <v>55</v>
      </c>
      <c r="C1062" s="72" t="s">
        <v>1168</v>
      </c>
      <c r="D1062" s="174" t="s">
        <v>1169</v>
      </c>
      <c r="E1062" s="174"/>
      <c r="F1062" s="72" t="s">
        <v>192</v>
      </c>
      <c r="G1062" s="90">
        <v>39.244709999999998</v>
      </c>
      <c r="H1062" s="91"/>
      <c r="I1062" s="103">
        <v>21</v>
      </c>
      <c r="J1062" s="90">
        <f>ROUND(G1062*AO1062,2)</f>
        <v>0</v>
      </c>
      <c r="K1062" s="90">
        <f>ROUND(G1062*AP1062,2)</f>
        <v>0</v>
      </c>
      <c r="L1062" s="90">
        <f>ROUND(G1062*H1062,2)</f>
        <v>0</v>
      </c>
      <c r="M1062" s="90">
        <f>L1062*(1+BW1062/100)</f>
        <v>0</v>
      </c>
      <c r="N1062" s="90">
        <v>0</v>
      </c>
      <c r="O1062" s="90">
        <f>G1062*N1062</f>
        <v>0</v>
      </c>
      <c r="P1062" s="92" t="s">
        <v>64</v>
      </c>
      <c r="Z1062" s="93">
        <f>ROUND(IF(AQ1062="5",BJ1062,0),2)</f>
        <v>0</v>
      </c>
      <c r="AB1062" s="93">
        <f>ROUND(IF(AQ1062="1",BH1062,0),2)</f>
        <v>0</v>
      </c>
      <c r="AC1062" s="93">
        <f>ROUND(IF(AQ1062="1",BI1062,0),2)</f>
        <v>0</v>
      </c>
      <c r="AD1062" s="93">
        <f>ROUND(IF(AQ1062="7",BH1062,0),2)</f>
        <v>0</v>
      </c>
      <c r="AE1062" s="93">
        <f>ROUND(IF(AQ1062="7",BI1062,0),2)</f>
        <v>0</v>
      </c>
      <c r="AF1062" s="93">
        <f>ROUND(IF(AQ1062="2",BH1062,0),2)</f>
        <v>0</v>
      </c>
      <c r="AG1062" s="93">
        <f>ROUND(IF(AQ1062="2",BI1062,0),2)</f>
        <v>0</v>
      </c>
      <c r="AH1062" s="93">
        <f>ROUND(IF(AQ1062="0",BJ1062,0),2)</f>
        <v>0</v>
      </c>
      <c r="AI1062" s="88" t="s">
        <v>55</v>
      </c>
      <c r="AJ1062" s="93">
        <f>IF(AN1062=0,L1062,0)</f>
        <v>0</v>
      </c>
      <c r="AK1062" s="93">
        <f>IF(AN1062=12,L1062,0)</f>
        <v>0</v>
      </c>
      <c r="AL1062" s="93">
        <f>IF(AN1062=21,L1062,0)</f>
        <v>0</v>
      </c>
      <c r="AN1062" s="93">
        <v>21</v>
      </c>
      <c r="AO1062" s="93">
        <f>H1062*0</f>
        <v>0</v>
      </c>
      <c r="AP1062" s="93">
        <f>H1062*(1-0)</f>
        <v>0</v>
      </c>
      <c r="AQ1062" s="94" t="s">
        <v>59</v>
      </c>
      <c r="AV1062" s="93">
        <f>ROUND(AW1062+AX1062,2)</f>
        <v>0</v>
      </c>
      <c r="AW1062" s="93">
        <f>ROUND(G1062*AO1062,2)</f>
        <v>0</v>
      </c>
      <c r="AX1062" s="93">
        <f>ROUND(G1062*AP1062,2)</f>
        <v>0</v>
      </c>
      <c r="AY1062" s="94" t="s">
        <v>1101</v>
      </c>
      <c r="AZ1062" s="94" t="s">
        <v>871</v>
      </c>
      <c r="BA1062" s="88" t="s">
        <v>67</v>
      </c>
      <c r="BC1062" s="93">
        <f>AW1062+AX1062</f>
        <v>0</v>
      </c>
      <c r="BD1062" s="93">
        <f>H1062/(100-BE1062)*100</f>
        <v>0</v>
      </c>
      <c r="BE1062" s="93">
        <v>0</v>
      </c>
      <c r="BF1062" s="93">
        <f>O1062</f>
        <v>0</v>
      </c>
      <c r="BH1062" s="93">
        <f>G1062*AO1062</f>
        <v>0</v>
      </c>
      <c r="BI1062" s="93">
        <f>G1062*AP1062</f>
        <v>0</v>
      </c>
      <c r="BJ1062" s="93">
        <f>G1062*H1062</f>
        <v>0</v>
      </c>
      <c r="BK1062" s="93"/>
      <c r="BL1062" s="93">
        <v>63</v>
      </c>
      <c r="BW1062" s="93">
        <f>I1062</f>
        <v>21</v>
      </c>
      <c r="BX1062" s="2" t="s">
        <v>1169</v>
      </c>
    </row>
    <row r="1063" spans="1:76" s="81" customFormat="1" ht="25.5" x14ac:dyDescent="0.25">
      <c r="A1063" s="66" t="s">
        <v>1170</v>
      </c>
      <c r="B1063" s="72" t="s">
        <v>55</v>
      </c>
      <c r="C1063" s="72" t="s">
        <v>1171</v>
      </c>
      <c r="D1063" s="174" t="s">
        <v>1172</v>
      </c>
      <c r="E1063" s="174"/>
      <c r="F1063" s="72" t="s">
        <v>62</v>
      </c>
      <c r="G1063" s="90">
        <v>93.477999999999994</v>
      </c>
      <c r="H1063" s="91"/>
      <c r="I1063" s="103">
        <v>21</v>
      </c>
      <c r="J1063" s="90">
        <f>ROUND(G1063*AO1063,2)</f>
        <v>0</v>
      </c>
      <c r="K1063" s="90">
        <f>ROUND(G1063*AP1063,2)</f>
        <v>0</v>
      </c>
      <c r="L1063" s="90">
        <f>ROUND(G1063*H1063,2)</f>
        <v>0</v>
      </c>
      <c r="M1063" s="90">
        <f>L1063*(1+BW1063/100)</f>
        <v>0</v>
      </c>
      <c r="N1063" s="90">
        <v>2.3886500000000002</v>
      </c>
      <c r="O1063" s="90">
        <f>G1063*N1063</f>
        <v>223.28622469999999</v>
      </c>
      <c r="P1063" s="92" t="s">
        <v>1173</v>
      </c>
      <c r="Z1063" s="93">
        <f>ROUND(IF(AQ1063="5",BJ1063,0),2)</f>
        <v>0</v>
      </c>
      <c r="AB1063" s="93">
        <f>ROUND(IF(AQ1063="1",BH1063,0),2)</f>
        <v>0</v>
      </c>
      <c r="AC1063" s="93">
        <f>ROUND(IF(AQ1063="1",BI1063,0),2)</f>
        <v>0</v>
      </c>
      <c r="AD1063" s="93">
        <f>ROUND(IF(AQ1063="7",BH1063,0),2)</f>
        <v>0</v>
      </c>
      <c r="AE1063" s="93">
        <f>ROUND(IF(AQ1063="7",BI1063,0),2)</f>
        <v>0</v>
      </c>
      <c r="AF1063" s="93">
        <f>ROUND(IF(AQ1063="2",BH1063,0),2)</f>
        <v>0</v>
      </c>
      <c r="AG1063" s="93">
        <f>ROUND(IF(AQ1063="2",BI1063,0),2)</f>
        <v>0</v>
      </c>
      <c r="AH1063" s="93">
        <f>ROUND(IF(AQ1063="0",BJ1063,0),2)</f>
        <v>0</v>
      </c>
      <c r="AI1063" s="88" t="s">
        <v>55</v>
      </c>
      <c r="AJ1063" s="93">
        <f>IF(AN1063=0,L1063,0)</f>
        <v>0</v>
      </c>
      <c r="AK1063" s="93">
        <f>IF(AN1063=12,L1063,0)</f>
        <v>0</v>
      </c>
      <c r="AL1063" s="93">
        <f>IF(AN1063=21,L1063,0)</f>
        <v>0</v>
      </c>
      <c r="AN1063" s="93">
        <v>21</v>
      </c>
      <c r="AO1063" s="93">
        <f>H1063*0.808624029</f>
        <v>0</v>
      </c>
      <c r="AP1063" s="93">
        <f>H1063*(1-0.808624029)</f>
        <v>0</v>
      </c>
      <c r="AQ1063" s="94" t="s">
        <v>59</v>
      </c>
      <c r="AV1063" s="93">
        <f>ROUND(AW1063+AX1063,2)</f>
        <v>0</v>
      </c>
      <c r="AW1063" s="93">
        <f>ROUND(G1063*AO1063,2)</f>
        <v>0</v>
      </c>
      <c r="AX1063" s="93">
        <f>ROUND(G1063*AP1063,2)</f>
        <v>0</v>
      </c>
      <c r="AY1063" s="94" t="s">
        <v>1101</v>
      </c>
      <c r="AZ1063" s="94" t="s">
        <v>871</v>
      </c>
      <c r="BA1063" s="88" t="s">
        <v>67</v>
      </c>
      <c r="BC1063" s="93">
        <f>AW1063+AX1063</f>
        <v>0</v>
      </c>
      <c r="BD1063" s="93">
        <f>H1063/(100-BE1063)*100</f>
        <v>0</v>
      </c>
      <c r="BE1063" s="93">
        <v>0</v>
      </c>
      <c r="BF1063" s="93">
        <f>O1063</f>
        <v>223.28622469999999</v>
      </c>
      <c r="BH1063" s="93">
        <f>G1063*AO1063</f>
        <v>0</v>
      </c>
      <c r="BI1063" s="93">
        <f>G1063*AP1063</f>
        <v>0</v>
      </c>
      <c r="BJ1063" s="93">
        <f>G1063*H1063</f>
        <v>0</v>
      </c>
      <c r="BK1063" s="93"/>
      <c r="BL1063" s="93">
        <v>63</v>
      </c>
      <c r="BW1063" s="93">
        <f>I1063</f>
        <v>21</v>
      </c>
      <c r="BX1063" s="2" t="s">
        <v>1172</v>
      </c>
    </row>
    <row r="1064" spans="1:76" s="81" customFormat="1" x14ac:dyDescent="0.25">
      <c r="A1064" s="110"/>
      <c r="B1064" s="95"/>
      <c r="C1064" s="95"/>
      <c r="D1064" s="76" t="s">
        <v>54</v>
      </c>
      <c r="E1064" s="76" t="s">
        <v>1174</v>
      </c>
      <c r="F1064" s="95"/>
      <c r="G1064" s="96">
        <v>0</v>
      </c>
      <c r="H1064" s="97"/>
      <c r="I1064" s="95"/>
      <c r="J1064" s="95"/>
      <c r="K1064" s="95"/>
      <c r="L1064" s="95"/>
      <c r="M1064" s="95"/>
      <c r="N1064" s="95"/>
      <c r="O1064" s="95"/>
      <c r="P1064" s="95"/>
    </row>
    <row r="1065" spans="1:76" s="81" customFormat="1" x14ac:dyDescent="0.25">
      <c r="A1065" s="110"/>
      <c r="B1065" s="95"/>
      <c r="C1065" s="95"/>
      <c r="D1065" s="76" t="s">
        <v>54</v>
      </c>
      <c r="E1065" s="76" t="s">
        <v>1175</v>
      </c>
      <c r="F1065" s="95"/>
      <c r="G1065" s="96">
        <v>0</v>
      </c>
      <c r="H1065" s="97"/>
      <c r="I1065" s="95"/>
      <c r="J1065" s="95"/>
      <c r="K1065" s="95"/>
      <c r="L1065" s="95"/>
      <c r="M1065" s="95"/>
      <c r="N1065" s="95"/>
      <c r="O1065" s="95"/>
      <c r="P1065" s="95"/>
    </row>
    <row r="1066" spans="1:76" s="81" customFormat="1" x14ac:dyDescent="0.25">
      <c r="A1066" s="110"/>
      <c r="B1066" s="95"/>
      <c r="C1066" s="95"/>
      <c r="D1066" s="76" t="s">
        <v>54</v>
      </c>
      <c r="E1066" s="76" t="s">
        <v>1176</v>
      </c>
      <c r="F1066" s="95"/>
      <c r="G1066" s="96">
        <v>0</v>
      </c>
      <c r="H1066" s="97"/>
      <c r="I1066" s="95"/>
      <c r="J1066" s="95"/>
      <c r="K1066" s="95"/>
      <c r="L1066" s="95"/>
      <c r="M1066" s="95"/>
      <c r="N1066" s="95"/>
      <c r="O1066" s="95"/>
      <c r="P1066" s="95"/>
    </row>
    <row r="1067" spans="1:76" s="81" customFormat="1" x14ac:dyDescent="0.25">
      <c r="A1067" s="110"/>
      <c r="B1067" s="95"/>
      <c r="C1067" s="95"/>
      <c r="D1067" s="76" t="s">
        <v>1177</v>
      </c>
      <c r="E1067" s="76" t="s">
        <v>1178</v>
      </c>
      <c r="F1067" s="95"/>
      <c r="G1067" s="96">
        <v>5.2750000000000004</v>
      </c>
      <c r="H1067" s="97"/>
      <c r="I1067" s="95"/>
      <c r="J1067" s="95"/>
      <c r="K1067" s="95"/>
      <c r="L1067" s="95"/>
      <c r="M1067" s="95"/>
      <c r="N1067" s="95"/>
      <c r="O1067" s="95"/>
      <c r="P1067" s="95"/>
    </row>
    <row r="1068" spans="1:76" s="81" customFormat="1" x14ac:dyDescent="0.25">
      <c r="A1068" s="110"/>
      <c r="B1068" s="95"/>
      <c r="C1068" s="95"/>
      <c r="D1068" s="76" t="s">
        <v>1179</v>
      </c>
      <c r="E1068" s="76" t="s">
        <v>1180</v>
      </c>
      <c r="F1068" s="95"/>
      <c r="G1068" s="96">
        <v>53.276000000000003</v>
      </c>
      <c r="H1068" s="97"/>
      <c r="I1068" s="95"/>
      <c r="J1068" s="95"/>
      <c r="K1068" s="95"/>
      <c r="L1068" s="95"/>
      <c r="M1068" s="95"/>
      <c r="N1068" s="95"/>
      <c r="O1068" s="95"/>
      <c r="P1068" s="95"/>
    </row>
    <row r="1069" spans="1:76" s="81" customFormat="1" x14ac:dyDescent="0.25">
      <c r="A1069" s="110"/>
      <c r="B1069" s="95"/>
      <c r="C1069" s="95"/>
      <c r="D1069" s="76" t="s">
        <v>1181</v>
      </c>
      <c r="E1069" s="76" t="s">
        <v>1182</v>
      </c>
      <c r="F1069" s="95"/>
      <c r="G1069" s="96">
        <v>15.552</v>
      </c>
      <c r="H1069" s="97"/>
      <c r="I1069" s="95"/>
      <c r="J1069" s="95"/>
      <c r="K1069" s="95"/>
      <c r="L1069" s="95"/>
      <c r="M1069" s="95"/>
      <c r="N1069" s="95"/>
      <c r="O1069" s="95"/>
      <c r="P1069" s="95"/>
    </row>
    <row r="1070" spans="1:76" s="81" customFormat="1" x14ac:dyDescent="0.25">
      <c r="A1070" s="110"/>
      <c r="B1070" s="95"/>
      <c r="C1070" s="95"/>
      <c r="D1070" s="76" t="s">
        <v>54</v>
      </c>
      <c r="E1070" s="76" t="s">
        <v>1183</v>
      </c>
      <c r="F1070" s="95"/>
      <c r="G1070" s="96">
        <v>0</v>
      </c>
      <c r="H1070" s="97"/>
      <c r="I1070" s="95"/>
      <c r="J1070" s="95"/>
      <c r="K1070" s="95"/>
      <c r="L1070" s="95"/>
      <c r="M1070" s="95"/>
      <c r="N1070" s="95"/>
      <c r="O1070" s="95"/>
      <c r="P1070" s="95"/>
    </row>
    <row r="1071" spans="1:76" s="81" customFormat="1" x14ac:dyDescent="0.25">
      <c r="A1071" s="110"/>
      <c r="B1071" s="95"/>
      <c r="C1071" s="95"/>
      <c r="D1071" s="76" t="s">
        <v>1184</v>
      </c>
      <c r="E1071" s="76" t="s">
        <v>1185</v>
      </c>
      <c r="F1071" s="95"/>
      <c r="G1071" s="96">
        <v>19.375</v>
      </c>
      <c r="H1071" s="97"/>
      <c r="I1071" s="95"/>
      <c r="J1071" s="95"/>
      <c r="K1071" s="95"/>
      <c r="L1071" s="95"/>
      <c r="M1071" s="95"/>
      <c r="N1071" s="95"/>
      <c r="O1071" s="95"/>
      <c r="P1071" s="95"/>
    </row>
    <row r="1072" spans="1:76" s="81" customFormat="1" x14ac:dyDescent="0.25">
      <c r="A1072" s="66" t="s">
        <v>1186</v>
      </c>
      <c r="B1072" s="72" t="s">
        <v>55</v>
      </c>
      <c r="C1072" s="72" t="s">
        <v>1187</v>
      </c>
      <c r="D1072" s="174" t="s">
        <v>1188</v>
      </c>
      <c r="E1072" s="174"/>
      <c r="F1072" s="72" t="s">
        <v>62</v>
      </c>
      <c r="G1072" s="90">
        <v>53.276000000000003</v>
      </c>
      <c r="H1072" s="91"/>
      <c r="I1072" s="103">
        <v>21</v>
      </c>
      <c r="J1072" s="90">
        <f>ROUND(G1072*AO1072,2)</f>
        <v>0</v>
      </c>
      <c r="K1072" s="90">
        <f>ROUND(G1072*AP1072,2)</f>
        <v>0</v>
      </c>
      <c r="L1072" s="90">
        <f>ROUND(G1072*H1072,2)</f>
        <v>0</v>
      </c>
      <c r="M1072" s="90">
        <f>L1072*(1+BW1072/100)</f>
        <v>0</v>
      </c>
      <c r="N1072" s="90">
        <v>0</v>
      </c>
      <c r="O1072" s="90">
        <f>G1072*N1072</f>
        <v>0</v>
      </c>
      <c r="P1072" s="92" t="s">
        <v>64</v>
      </c>
      <c r="Z1072" s="93">
        <f>ROUND(IF(AQ1072="5",BJ1072,0),2)</f>
        <v>0</v>
      </c>
      <c r="AB1072" s="93">
        <f>ROUND(IF(AQ1072="1",BH1072,0),2)</f>
        <v>0</v>
      </c>
      <c r="AC1072" s="93">
        <f>ROUND(IF(AQ1072="1",BI1072,0),2)</f>
        <v>0</v>
      </c>
      <c r="AD1072" s="93">
        <f>ROUND(IF(AQ1072="7",BH1072,0),2)</f>
        <v>0</v>
      </c>
      <c r="AE1072" s="93">
        <f>ROUND(IF(AQ1072="7",BI1072,0),2)</f>
        <v>0</v>
      </c>
      <c r="AF1072" s="93">
        <f>ROUND(IF(AQ1072="2",BH1072,0),2)</f>
        <v>0</v>
      </c>
      <c r="AG1072" s="93">
        <f>ROUND(IF(AQ1072="2",BI1072,0),2)</f>
        <v>0</v>
      </c>
      <c r="AH1072" s="93">
        <f>ROUND(IF(AQ1072="0",BJ1072,0),2)</f>
        <v>0</v>
      </c>
      <c r="AI1072" s="88" t="s">
        <v>55</v>
      </c>
      <c r="AJ1072" s="93">
        <f>IF(AN1072=0,L1072,0)</f>
        <v>0</v>
      </c>
      <c r="AK1072" s="93">
        <f>IF(AN1072=12,L1072,0)</f>
        <v>0</v>
      </c>
      <c r="AL1072" s="93">
        <f>IF(AN1072=21,L1072,0)</f>
        <v>0</v>
      </c>
      <c r="AN1072" s="93">
        <v>21</v>
      </c>
      <c r="AO1072" s="93">
        <f>H1072*0</f>
        <v>0</v>
      </c>
      <c r="AP1072" s="93">
        <f>H1072*(1-0)</f>
        <v>0</v>
      </c>
      <c r="AQ1072" s="94" t="s">
        <v>59</v>
      </c>
      <c r="AV1072" s="93">
        <f>ROUND(AW1072+AX1072,2)</f>
        <v>0</v>
      </c>
      <c r="AW1072" s="93">
        <f>ROUND(G1072*AO1072,2)</f>
        <v>0</v>
      </c>
      <c r="AX1072" s="93">
        <f>ROUND(G1072*AP1072,2)</f>
        <v>0</v>
      </c>
      <c r="AY1072" s="94" t="s">
        <v>1101</v>
      </c>
      <c r="AZ1072" s="94" t="s">
        <v>871</v>
      </c>
      <c r="BA1072" s="88" t="s">
        <v>67</v>
      </c>
      <c r="BC1072" s="93">
        <f>AW1072+AX1072</f>
        <v>0</v>
      </c>
      <c r="BD1072" s="93">
        <f>H1072/(100-BE1072)*100</f>
        <v>0</v>
      </c>
      <c r="BE1072" s="93">
        <v>0</v>
      </c>
      <c r="BF1072" s="93">
        <f>O1072</f>
        <v>0</v>
      </c>
      <c r="BH1072" s="93">
        <f>G1072*AO1072</f>
        <v>0</v>
      </c>
      <c r="BI1072" s="93">
        <f>G1072*AP1072</f>
        <v>0</v>
      </c>
      <c r="BJ1072" s="93">
        <f>G1072*H1072</f>
        <v>0</v>
      </c>
      <c r="BK1072" s="93"/>
      <c r="BL1072" s="93">
        <v>63</v>
      </c>
      <c r="BW1072" s="93">
        <f>I1072</f>
        <v>21</v>
      </c>
      <c r="BX1072" s="2" t="s">
        <v>1188</v>
      </c>
    </row>
    <row r="1073" spans="1:76" s="81" customFormat="1" x14ac:dyDescent="0.25">
      <c r="A1073" s="110"/>
      <c r="B1073" s="95"/>
      <c r="C1073" s="95"/>
      <c r="D1073" s="76" t="s">
        <v>1179</v>
      </c>
      <c r="E1073" s="76" t="s">
        <v>1180</v>
      </c>
      <c r="F1073" s="95"/>
      <c r="G1073" s="96">
        <v>53.276000000000003</v>
      </c>
      <c r="H1073" s="97"/>
      <c r="I1073" s="95"/>
      <c r="J1073" s="95"/>
      <c r="K1073" s="95"/>
      <c r="L1073" s="95"/>
      <c r="M1073" s="95"/>
      <c r="N1073" s="95"/>
      <c r="O1073" s="95"/>
      <c r="P1073" s="95"/>
    </row>
    <row r="1074" spans="1:76" s="81" customFormat="1" x14ac:dyDescent="0.25">
      <c r="A1074" s="66" t="s">
        <v>1189</v>
      </c>
      <c r="B1074" s="72" t="s">
        <v>55</v>
      </c>
      <c r="C1074" s="72" t="s">
        <v>1190</v>
      </c>
      <c r="D1074" s="174" t="s">
        <v>1191</v>
      </c>
      <c r="E1074" s="174"/>
      <c r="F1074" s="72" t="s">
        <v>62</v>
      </c>
      <c r="G1074" s="90">
        <v>60.643970000000003</v>
      </c>
      <c r="H1074" s="91"/>
      <c r="I1074" s="103">
        <v>21</v>
      </c>
      <c r="J1074" s="90">
        <f>ROUND(G1074*AO1074,2)</f>
        <v>0</v>
      </c>
      <c r="K1074" s="90">
        <f>ROUND(G1074*AP1074,2)</f>
        <v>0</v>
      </c>
      <c r="L1074" s="90">
        <f>ROUND(G1074*H1074,2)</f>
        <v>0</v>
      </c>
      <c r="M1074" s="90">
        <f>L1074*(1+BW1074/100)</f>
        <v>0</v>
      </c>
      <c r="N1074" s="90">
        <v>0.42</v>
      </c>
      <c r="O1074" s="90">
        <f>G1074*N1074</f>
        <v>25.4704674</v>
      </c>
      <c r="P1074" s="92" t="s">
        <v>64</v>
      </c>
      <c r="Z1074" s="93">
        <f>ROUND(IF(AQ1074="5",BJ1074,0),2)</f>
        <v>0</v>
      </c>
      <c r="AB1074" s="93">
        <f>ROUND(IF(AQ1074="1",BH1074,0),2)</f>
        <v>0</v>
      </c>
      <c r="AC1074" s="93">
        <f>ROUND(IF(AQ1074="1",BI1074,0),2)</f>
        <v>0</v>
      </c>
      <c r="AD1074" s="93">
        <f>ROUND(IF(AQ1074="7",BH1074,0),2)</f>
        <v>0</v>
      </c>
      <c r="AE1074" s="93">
        <f>ROUND(IF(AQ1074="7",BI1074,0),2)</f>
        <v>0</v>
      </c>
      <c r="AF1074" s="93">
        <f>ROUND(IF(AQ1074="2",BH1074,0),2)</f>
        <v>0</v>
      </c>
      <c r="AG1074" s="93">
        <f>ROUND(IF(AQ1074="2",BI1074,0),2)</f>
        <v>0</v>
      </c>
      <c r="AH1074" s="93">
        <f>ROUND(IF(AQ1074="0",BJ1074,0),2)</f>
        <v>0</v>
      </c>
      <c r="AI1074" s="88" t="s">
        <v>55</v>
      </c>
      <c r="AJ1074" s="93">
        <f>IF(AN1074=0,L1074,0)</f>
        <v>0</v>
      </c>
      <c r="AK1074" s="93">
        <f>IF(AN1074=12,L1074,0)</f>
        <v>0</v>
      </c>
      <c r="AL1074" s="93">
        <f>IF(AN1074=21,L1074,0)</f>
        <v>0</v>
      </c>
      <c r="AN1074" s="93">
        <v>21</v>
      </c>
      <c r="AO1074" s="93">
        <f>H1074*0.777198397</f>
        <v>0</v>
      </c>
      <c r="AP1074" s="93">
        <f>H1074*(1-0.777198397)</f>
        <v>0</v>
      </c>
      <c r="AQ1074" s="94" t="s">
        <v>59</v>
      </c>
      <c r="AV1074" s="93">
        <f>ROUND(AW1074+AX1074,2)</f>
        <v>0</v>
      </c>
      <c r="AW1074" s="93">
        <f>ROUND(G1074*AO1074,2)</f>
        <v>0</v>
      </c>
      <c r="AX1074" s="93">
        <f>ROUND(G1074*AP1074,2)</f>
        <v>0</v>
      </c>
      <c r="AY1074" s="94" t="s">
        <v>1101</v>
      </c>
      <c r="AZ1074" s="94" t="s">
        <v>871</v>
      </c>
      <c r="BA1074" s="88" t="s">
        <v>67</v>
      </c>
      <c r="BC1074" s="93">
        <f>AW1074+AX1074</f>
        <v>0</v>
      </c>
      <c r="BD1074" s="93">
        <f>H1074/(100-BE1074)*100</f>
        <v>0</v>
      </c>
      <c r="BE1074" s="93">
        <v>0</v>
      </c>
      <c r="BF1074" s="93">
        <f>O1074</f>
        <v>25.4704674</v>
      </c>
      <c r="BH1074" s="93">
        <f>G1074*AO1074</f>
        <v>0</v>
      </c>
      <c r="BI1074" s="93">
        <f>G1074*AP1074</f>
        <v>0</v>
      </c>
      <c r="BJ1074" s="93">
        <f>G1074*H1074</f>
        <v>0</v>
      </c>
      <c r="BK1074" s="93"/>
      <c r="BL1074" s="93">
        <v>63</v>
      </c>
      <c r="BW1074" s="93">
        <f>I1074</f>
        <v>21</v>
      </c>
      <c r="BX1074" s="2" t="s">
        <v>1191</v>
      </c>
    </row>
    <row r="1075" spans="1:76" s="81" customFormat="1" x14ac:dyDescent="0.25">
      <c r="A1075" s="110"/>
      <c r="B1075" s="95"/>
      <c r="C1075" s="95"/>
      <c r="D1075" s="76" t="s">
        <v>54</v>
      </c>
      <c r="E1075" s="76" t="s">
        <v>1192</v>
      </c>
      <c r="F1075" s="95"/>
      <c r="G1075" s="96">
        <v>0</v>
      </c>
      <c r="H1075" s="97"/>
      <c r="I1075" s="95"/>
      <c r="J1075" s="95"/>
      <c r="K1075" s="95"/>
      <c r="L1075" s="95"/>
      <c r="M1075" s="95"/>
      <c r="N1075" s="95"/>
      <c r="O1075" s="95"/>
      <c r="P1075" s="95"/>
    </row>
    <row r="1076" spans="1:76" s="81" customFormat="1" x14ac:dyDescent="0.25">
      <c r="A1076" s="110"/>
      <c r="B1076" s="95"/>
      <c r="C1076" s="95"/>
      <c r="D1076" s="76" t="s">
        <v>54</v>
      </c>
      <c r="E1076" s="76" t="s">
        <v>1193</v>
      </c>
      <c r="F1076" s="95"/>
      <c r="G1076" s="96">
        <v>0</v>
      </c>
      <c r="H1076" s="97"/>
      <c r="I1076" s="95"/>
      <c r="J1076" s="95"/>
      <c r="K1076" s="95"/>
      <c r="L1076" s="95"/>
      <c r="M1076" s="95"/>
      <c r="N1076" s="95"/>
      <c r="O1076" s="95"/>
      <c r="P1076" s="95"/>
    </row>
    <row r="1077" spans="1:76" s="81" customFormat="1" x14ac:dyDescent="0.25">
      <c r="A1077" s="110"/>
      <c r="B1077" s="95"/>
      <c r="C1077" s="95"/>
      <c r="D1077" s="76" t="s">
        <v>1194</v>
      </c>
      <c r="E1077" s="76" t="s">
        <v>54</v>
      </c>
      <c r="F1077" s="95"/>
      <c r="G1077" s="96">
        <v>37.913620000000002</v>
      </c>
      <c r="H1077" s="97"/>
      <c r="I1077" s="95"/>
      <c r="J1077" s="95"/>
      <c r="K1077" s="95"/>
      <c r="L1077" s="95"/>
      <c r="M1077" s="95"/>
      <c r="N1077" s="95"/>
      <c r="O1077" s="95"/>
      <c r="P1077" s="95"/>
    </row>
    <row r="1078" spans="1:76" s="81" customFormat="1" x14ac:dyDescent="0.25">
      <c r="A1078" s="110"/>
      <c r="B1078" s="95"/>
      <c r="C1078" s="95"/>
      <c r="D1078" s="76" t="s">
        <v>54</v>
      </c>
      <c r="E1078" s="76" t="s">
        <v>1195</v>
      </c>
      <c r="F1078" s="95"/>
      <c r="G1078" s="96">
        <v>0</v>
      </c>
      <c r="H1078" s="97"/>
      <c r="I1078" s="95"/>
      <c r="J1078" s="95"/>
      <c r="K1078" s="95"/>
      <c r="L1078" s="95"/>
      <c r="M1078" s="95"/>
      <c r="N1078" s="95"/>
      <c r="O1078" s="95"/>
      <c r="P1078" s="95"/>
    </row>
    <row r="1079" spans="1:76" s="81" customFormat="1" x14ac:dyDescent="0.25">
      <c r="A1079" s="110"/>
      <c r="B1079" s="95"/>
      <c r="C1079" s="95"/>
      <c r="D1079" s="76" t="s">
        <v>1196</v>
      </c>
      <c r="E1079" s="76" t="s">
        <v>54</v>
      </c>
      <c r="F1079" s="95"/>
      <c r="G1079" s="96">
        <v>14.70323</v>
      </c>
      <c r="H1079" s="97"/>
      <c r="I1079" s="95"/>
      <c r="J1079" s="95"/>
      <c r="K1079" s="95"/>
      <c r="L1079" s="95"/>
      <c r="M1079" s="95"/>
      <c r="N1079" s="95"/>
      <c r="O1079" s="95"/>
      <c r="P1079" s="95"/>
    </row>
    <row r="1080" spans="1:76" s="81" customFormat="1" x14ac:dyDescent="0.25">
      <c r="A1080" s="110"/>
      <c r="B1080" s="95"/>
      <c r="C1080" s="95"/>
      <c r="D1080" s="76" t="s">
        <v>1197</v>
      </c>
      <c r="E1080" s="76" t="s">
        <v>54</v>
      </c>
      <c r="F1080" s="95"/>
      <c r="G1080" s="96">
        <v>8.02712</v>
      </c>
      <c r="H1080" s="97"/>
      <c r="I1080" s="95"/>
      <c r="J1080" s="95"/>
      <c r="K1080" s="95"/>
      <c r="L1080" s="95"/>
      <c r="M1080" s="95"/>
      <c r="N1080" s="95"/>
      <c r="O1080" s="95"/>
      <c r="P1080" s="95"/>
    </row>
    <row r="1081" spans="1:76" s="81" customFormat="1" x14ac:dyDescent="0.25">
      <c r="A1081" s="66" t="s">
        <v>1198</v>
      </c>
      <c r="B1081" s="72" t="s">
        <v>55</v>
      </c>
      <c r="C1081" s="72" t="s">
        <v>1199</v>
      </c>
      <c r="D1081" s="174" t="s">
        <v>1200</v>
      </c>
      <c r="E1081" s="174"/>
      <c r="F1081" s="72" t="s">
        <v>62</v>
      </c>
      <c r="G1081" s="90">
        <v>15.517910000000001</v>
      </c>
      <c r="H1081" s="91"/>
      <c r="I1081" s="103">
        <v>21</v>
      </c>
      <c r="J1081" s="90">
        <f>ROUND(G1081*AO1081,2)</f>
        <v>0</v>
      </c>
      <c r="K1081" s="90">
        <f>ROUND(G1081*AP1081,2)</f>
        <v>0</v>
      </c>
      <c r="L1081" s="90">
        <f>ROUND(G1081*H1081,2)</f>
        <v>0</v>
      </c>
      <c r="M1081" s="90">
        <f>L1081*(1+BW1081/100)</f>
        <v>0</v>
      </c>
      <c r="N1081" s="90">
        <v>1.6</v>
      </c>
      <c r="O1081" s="90">
        <f>G1081*N1081</f>
        <v>24.828656000000002</v>
      </c>
      <c r="P1081" s="92" t="s">
        <v>64</v>
      </c>
      <c r="Z1081" s="93">
        <f>ROUND(IF(AQ1081="5",BJ1081,0),2)</f>
        <v>0</v>
      </c>
      <c r="AB1081" s="93">
        <f>ROUND(IF(AQ1081="1",BH1081,0),2)</f>
        <v>0</v>
      </c>
      <c r="AC1081" s="93">
        <f>ROUND(IF(AQ1081="1",BI1081,0),2)</f>
        <v>0</v>
      </c>
      <c r="AD1081" s="93">
        <f>ROUND(IF(AQ1081="7",BH1081,0),2)</f>
        <v>0</v>
      </c>
      <c r="AE1081" s="93">
        <f>ROUND(IF(AQ1081="7",BI1081,0),2)</f>
        <v>0</v>
      </c>
      <c r="AF1081" s="93">
        <f>ROUND(IF(AQ1081="2",BH1081,0),2)</f>
        <v>0</v>
      </c>
      <c r="AG1081" s="93">
        <f>ROUND(IF(AQ1081="2",BI1081,0),2)</f>
        <v>0</v>
      </c>
      <c r="AH1081" s="93">
        <f>ROUND(IF(AQ1081="0",BJ1081,0),2)</f>
        <v>0</v>
      </c>
      <c r="AI1081" s="88" t="s">
        <v>55</v>
      </c>
      <c r="AJ1081" s="93">
        <f>IF(AN1081=0,L1081,0)</f>
        <v>0</v>
      </c>
      <c r="AK1081" s="93">
        <f>IF(AN1081=12,L1081,0)</f>
        <v>0</v>
      </c>
      <c r="AL1081" s="93">
        <f>IF(AN1081=21,L1081,0)</f>
        <v>0</v>
      </c>
      <c r="AN1081" s="93">
        <v>21</v>
      </c>
      <c r="AO1081" s="93">
        <f>H1081*0.891488928</f>
        <v>0</v>
      </c>
      <c r="AP1081" s="93">
        <f>H1081*(1-0.891488928)</f>
        <v>0</v>
      </c>
      <c r="AQ1081" s="94" t="s">
        <v>59</v>
      </c>
      <c r="AV1081" s="93">
        <f>ROUND(AW1081+AX1081,2)</f>
        <v>0</v>
      </c>
      <c r="AW1081" s="93">
        <f>ROUND(G1081*AO1081,2)</f>
        <v>0</v>
      </c>
      <c r="AX1081" s="93">
        <f>ROUND(G1081*AP1081,2)</f>
        <v>0</v>
      </c>
      <c r="AY1081" s="94" t="s">
        <v>1101</v>
      </c>
      <c r="AZ1081" s="94" t="s">
        <v>871</v>
      </c>
      <c r="BA1081" s="88" t="s">
        <v>67</v>
      </c>
      <c r="BC1081" s="93">
        <f>AW1081+AX1081</f>
        <v>0</v>
      </c>
      <c r="BD1081" s="93">
        <f>H1081/(100-BE1081)*100</f>
        <v>0</v>
      </c>
      <c r="BE1081" s="93">
        <v>0</v>
      </c>
      <c r="BF1081" s="93">
        <f>O1081</f>
        <v>24.828656000000002</v>
      </c>
      <c r="BH1081" s="93">
        <f>G1081*AO1081</f>
        <v>0</v>
      </c>
      <c r="BI1081" s="93">
        <f>G1081*AP1081</f>
        <v>0</v>
      </c>
      <c r="BJ1081" s="93">
        <f>G1081*H1081</f>
        <v>0</v>
      </c>
      <c r="BK1081" s="93"/>
      <c r="BL1081" s="93">
        <v>63</v>
      </c>
      <c r="BW1081" s="93">
        <f>I1081</f>
        <v>21</v>
      </c>
      <c r="BX1081" s="2" t="s">
        <v>1200</v>
      </c>
    </row>
    <row r="1082" spans="1:76" s="81" customFormat="1" x14ac:dyDescent="0.25">
      <c r="A1082" s="110"/>
      <c r="B1082" s="95"/>
      <c r="C1082" s="95"/>
      <c r="D1082" s="76" t="s">
        <v>54</v>
      </c>
      <c r="E1082" s="76" t="s">
        <v>831</v>
      </c>
      <c r="F1082" s="95"/>
      <c r="G1082" s="96">
        <v>0</v>
      </c>
      <c r="H1082" s="97"/>
      <c r="I1082" s="95"/>
      <c r="J1082" s="95"/>
      <c r="K1082" s="95"/>
      <c r="L1082" s="95"/>
      <c r="M1082" s="95"/>
      <c r="N1082" s="95"/>
      <c r="O1082" s="95"/>
      <c r="P1082" s="95"/>
    </row>
    <row r="1083" spans="1:76" s="81" customFormat="1" x14ac:dyDescent="0.25">
      <c r="A1083" s="110"/>
      <c r="B1083" s="95"/>
      <c r="C1083" s="95"/>
      <c r="D1083" s="76" t="s">
        <v>54</v>
      </c>
      <c r="E1083" s="76" t="s">
        <v>832</v>
      </c>
      <c r="F1083" s="95"/>
      <c r="G1083" s="96">
        <v>0</v>
      </c>
      <c r="H1083" s="97"/>
      <c r="I1083" s="95"/>
      <c r="J1083" s="95"/>
      <c r="K1083" s="95"/>
      <c r="L1083" s="95"/>
      <c r="M1083" s="95"/>
      <c r="N1083" s="95"/>
      <c r="O1083" s="95"/>
      <c r="P1083" s="95"/>
    </row>
    <row r="1084" spans="1:76" s="81" customFormat="1" x14ac:dyDescent="0.25">
      <c r="A1084" s="110"/>
      <c r="B1084" s="95"/>
      <c r="C1084" s="95"/>
      <c r="D1084" s="76" t="s">
        <v>1201</v>
      </c>
      <c r="E1084" s="76" t="s">
        <v>841</v>
      </c>
      <c r="F1084" s="95"/>
      <c r="G1084" s="96">
        <v>1.1294900000000001</v>
      </c>
      <c r="H1084" s="97"/>
      <c r="I1084" s="95"/>
      <c r="J1084" s="95"/>
      <c r="K1084" s="95"/>
      <c r="L1084" s="95"/>
      <c r="M1084" s="95"/>
      <c r="N1084" s="95"/>
      <c r="O1084" s="95"/>
      <c r="P1084" s="95"/>
    </row>
    <row r="1085" spans="1:76" s="81" customFormat="1" x14ac:dyDescent="0.25">
      <c r="A1085" s="110"/>
      <c r="B1085" s="95"/>
      <c r="C1085" s="95"/>
      <c r="D1085" s="76" t="s">
        <v>1202</v>
      </c>
      <c r="E1085" s="76" t="s">
        <v>843</v>
      </c>
      <c r="F1085" s="95"/>
      <c r="G1085" s="96">
        <v>0.43195</v>
      </c>
      <c r="H1085" s="97"/>
      <c r="I1085" s="95"/>
      <c r="J1085" s="95"/>
      <c r="K1085" s="95"/>
      <c r="L1085" s="95"/>
      <c r="M1085" s="95"/>
      <c r="N1085" s="95"/>
      <c r="O1085" s="95"/>
      <c r="P1085" s="95"/>
    </row>
    <row r="1086" spans="1:76" s="81" customFormat="1" x14ac:dyDescent="0.25">
      <c r="A1086" s="110"/>
      <c r="B1086" s="95"/>
      <c r="C1086" s="95"/>
      <c r="D1086" s="76" t="s">
        <v>1203</v>
      </c>
      <c r="E1086" s="76" t="s">
        <v>834</v>
      </c>
      <c r="F1086" s="95"/>
      <c r="G1086" s="96">
        <v>1.5673600000000001</v>
      </c>
      <c r="H1086" s="97"/>
      <c r="I1086" s="95"/>
      <c r="J1086" s="95"/>
      <c r="K1086" s="95"/>
      <c r="L1086" s="95"/>
      <c r="M1086" s="95"/>
      <c r="N1086" s="95"/>
      <c r="O1086" s="95"/>
      <c r="P1086" s="95"/>
    </row>
    <row r="1087" spans="1:76" s="81" customFormat="1" x14ac:dyDescent="0.25">
      <c r="A1087" s="110"/>
      <c r="B1087" s="95"/>
      <c r="C1087" s="95"/>
      <c r="D1087" s="76" t="s">
        <v>54</v>
      </c>
      <c r="E1087" s="76" t="s">
        <v>835</v>
      </c>
      <c r="F1087" s="95"/>
      <c r="G1087" s="96">
        <v>0</v>
      </c>
      <c r="H1087" s="97"/>
      <c r="I1087" s="95"/>
      <c r="J1087" s="95"/>
      <c r="K1087" s="95"/>
      <c r="L1087" s="95"/>
      <c r="M1087" s="95"/>
      <c r="N1087" s="95"/>
      <c r="O1087" s="95"/>
      <c r="P1087" s="95"/>
    </row>
    <row r="1088" spans="1:76" s="81" customFormat="1" x14ac:dyDescent="0.25">
      <c r="A1088" s="110"/>
      <c r="B1088" s="95"/>
      <c r="C1088" s="95"/>
      <c r="D1088" s="76" t="s">
        <v>1204</v>
      </c>
      <c r="E1088" s="76" t="s">
        <v>54</v>
      </c>
      <c r="F1088" s="95"/>
      <c r="G1088" s="96">
        <v>8.2356099999999994</v>
      </c>
      <c r="H1088" s="97"/>
      <c r="I1088" s="95"/>
      <c r="J1088" s="95"/>
      <c r="K1088" s="95"/>
      <c r="L1088" s="95"/>
      <c r="M1088" s="95"/>
      <c r="N1088" s="95"/>
      <c r="O1088" s="95"/>
      <c r="P1088" s="95"/>
    </row>
    <row r="1089" spans="1:76" s="81" customFormat="1" x14ac:dyDescent="0.25">
      <c r="A1089" s="110"/>
      <c r="B1089" s="95"/>
      <c r="C1089" s="95"/>
      <c r="D1089" s="76" t="s">
        <v>54</v>
      </c>
      <c r="E1089" s="76" t="s">
        <v>837</v>
      </c>
      <c r="F1089" s="95"/>
      <c r="G1089" s="96">
        <v>0</v>
      </c>
      <c r="H1089" s="97"/>
      <c r="I1089" s="95"/>
      <c r="J1089" s="95"/>
      <c r="K1089" s="95"/>
      <c r="L1089" s="95"/>
      <c r="M1089" s="95"/>
      <c r="N1089" s="95"/>
      <c r="O1089" s="95"/>
      <c r="P1089" s="95"/>
    </row>
    <row r="1090" spans="1:76" s="81" customFormat="1" x14ac:dyDescent="0.25">
      <c r="A1090" s="110"/>
      <c r="B1090" s="95"/>
      <c r="C1090" s="95"/>
      <c r="D1090" s="76" t="s">
        <v>54</v>
      </c>
      <c r="E1090" s="76" t="s">
        <v>443</v>
      </c>
      <c r="F1090" s="95"/>
      <c r="G1090" s="96">
        <v>0</v>
      </c>
      <c r="H1090" s="97"/>
      <c r="I1090" s="95"/>
      <c r="J1090" s="95"/>
      <c r="K1090" s="95"/>
      <c r="L1090" s="95"/>
      <c r="M1090" s="95"/>
      <c r="N1090" s="95"/>
      <c r="O1090" s="95"/>
      <c r="P1090" s="95"/>
    </row>
    <row r="1091" spans="1:76" s="81" customFormat="1" x14ac:dyDescent="0.25">
      <c r="A1091" s="110"/>
      <c r="B1091" s="95"/>
      <c r="C1091" s="95"/>
      <c r="D1091" s="76" t="s">
        <v>1205</v>
      </c>
      <c r="E1091" s="76" t="s">
        <v>839</v>
      </c>
      <c r="F1091" s="95"/>
      <c r="G1091" s="96">
        <v>4.1535000000000002</v>
      </c>
      <c r="H1091" s="97"/>
      <c r="I1091" s="95"/>
      <c r="J1091" s="95"/>
      <c r="K1091" s="95"/>
      <c r="L1091" s="95"/>
      <c r="M1091" s="95"/>
      <c r="N1091" s="95"/>
      <c r="O1091" s="95"/>
      <c r="P1091" s="95"/>
    </row>
    <row r="1092" spans="1:76" s="81" customFormat="1" x14ac:dyDescent="0.25">
      <c r="A1092" s="66" t="s">
        <v>1206</v>
      </c>
      <c r="B1092" s="72" t="s">
        <v>55</v>
      </c>
      <c r="C1092" s="72" t="s">
        <v>1207</v>
      </c>
      <c r="D1092" s="174" t="s">
        <v>1208</v>
      </c>
      <c r="E1092" s="174"/>
      <c r="F1092" s="72" t="s">
        <v>192</v>
      </c>
      <c r="G1092" s="90">
        <v>20.269359999999999</v>
      </c>
      <c r="H1092" s="91"/>
      <c r="I1092" s="103">
        <v>21</v>
      </c>
      <c r="J1092" s="90">
        <f>ROUND(G1092*AO1092,2)</f>
        <v>0</v>
      </c>
      <c r="K1092" s="90">
        <f>ROUND(G1092*AP1092,2)</f>
        <v>0</v>
      </c>
      <c r="L1092" s="90">
        <f>ROUND(G1092*H1092,2)</f>
        <v>0</v>
      </c>
      <c r="M1092" s="90">
        <f>L1092*(1+BW1092/100)</f>
        <v>0</v>
      </c>
      <c r="N1092" s="90">
        <v>0.26500000000000001</v>
      </c>
      <c r="O1092" s="90">
        <f>G1092*N1092</f>
        <v>5.3713803999999996</v>
      </c>
      <c r="P1092" s="92" t="s">
        <v>371</v>
      </c>
      <c r="Z1092" s="93">
        <f>ROUND(IF(AQ1092="5",BJ1092,0),2)</f>
        <v>0</v>
      </c>
      <c r="AB1092" s="93">
        <f>ROUND(IF(AQ1092="1",BH1092,0),2)</f>
        <v>0</v>
      </c>
      <c r="AC1092" s="93">
        <f>ROUND(IF(AQ1092="1",BI1092,0),2)</f>
        <v>0</v>
      </c>
      <c r="AD1092" s="93">
        <f>ROUND(IF(AQ1092="7",BH1092,0),2)</f>
        <v>0</v>
      </c>
      <c r="AE1092" s="93">
        <f>ROUND(IF(AQ1092="7",BI1092,0),2)</f>
        <v>0</v>
      </c>
      <c r="AF1092" s="93">
        <f>ROUND(IF(AQ1092="2",BH1092,0),2)</f>
        <v>0</v>
      </c>
      <c r="AG1092" s="93">
        <f>ROUND(IF(AQ1092="2",BI1092,0),2)</f>
        <v>0</v>
      </c>
      <c r="AH1092" s="93">
        <f>ROUND(IF(AQ1092="0",BJ1092,0),2)</f>
        <v>0</v>
      </c>
      <c r="AI1092" s="88" t="s">
        <v>55</v>
      </c>
      <c r="AJ1092" s="93">
        <f>IF(AN1092=0,L1092,0)</f>
        <v>0</v>
      </c>
      <c r="AK1092" s="93">
        <f>IF(AN1092=12,L1092,0)</f>
        <v>0</v>
      </c>
      <c r="AL1092" s="93">
        <f>IF(AN1092=21,L1092,0)</f>
        <v>0</v>
      </c>
      <c r="AN1092" s="93">
        <v>21</v>
      </c>
      <c r="AO1092" s="93">
        <f>H1092*0.895667251</f>
        <v>0</v>
      </c>
      <c r="AP1092" s="93">
        <f>H1092*(1-0.895667251)</f>
        <v>0</v>
      </c>
      <c r="AQ1092" s="94" t="s">
        <v>59</v>
      </c>
      <c r="AV1092" s="93">
        <f>ROUND(AW1092+AX1092,2)</f>
        <v>0</v>
      </c>
      <c r="AW1092" s="93">
        <f>ROUND(G1092*AO1092,2)</f>
        <v>0</v>
      </c>
      <c r="AX1092" s="93">
        <f>ROUND(G1092*AP1092,2)</f>
        <v>0</v>
      </c>
      <c r="AY1092" s="94" t="s">
        <v>1101</v>
      </c>
      <c r="AZ1092" s="94" t="s">
        <v>871</v>
      </c>
      <c r="BA1092" s="88" t="s">
        <v>67</v>
      </c>
      <c r="BC1092" s="93">
        <f>AW1092+AX1092</f>
        <v>0</v>
      </c>
      <c r="BD1092" s="93">
        <f>H1092/(100-BE1092)*100</f>
        <v>0</v>
      </c>
      <c r="BE1092" s="93">
        <v>0</v>
      </c>
      <c r="BF1092" s="93">
        <f>O1092</f>
        <v>5.3713803999999996</v>
      </c>
      <c r="BH1092" s="93">
        <f>G1092*AO1092</f>
        <v>0</v>
      </c>
      <c r="BI1092" s="93">
        <f>G1092*AP1092</f>
        <v>0</v>
      </c>
      <c r="BJ1092" s="93">
        <f>G1092*H1092</f>
        <v>0</v>
      </c>
      <c r="BK1092" s="93"/>
      <c r="BL1092" s="93">
        <v>63</v>
      </c>
      <c r="BW1092" s="93">
        <f>I1092</f>
        <v>21</v>
      </c>
      <c r="BX1092" s="2" t="s">
        <v>1208</v>
      </c>
    </row>
    <row r="1093" spans="1:76" s="81" customFormat="1" x14ac:dyDescent="0.25">
      <c r="A1093" s="110"/>
      <c r="B1093" s="95"/>
      <c r="C1093" s="95"/>
      <c r="D1093" s="76" t="s">
        <v>54</v>
      </c>
      <c r="E1093" s="76" t="s">
        <v>215</v>
      </c>
      <c r="F1093" s="95"/>
      <c r="G1093" s="96">
        <v>0</v>
      </c>
      <c r="H1093" s="97"/>
      <c r="I1093" s="95"/>
      <c r="J1093" s="95"/>
      <c r="K1093" s="95"/>
      <c r="L1093" s="95"/>
      <c r="M1093" s="95"/>
      <c r="N1093" s="95"/>
      <c r="O1093" s="95"/>
      <c r="P1093" s="95"/>
    </row>
    <row r="1094" spans="1:76" s="81" customFormat="1" x14ac:dyDescent="0.25">
      <c r="A1094" s="110"/>
      <c r="B1094" s="95"/>
      <c r="C1094" s="95"/>
      <c r="D1094" s="76" t="s">
        <v>1209</v>
      </c>
      <c r="E1094" s="76" t="s">
        <v>54</v>
      </c>
      <c r="F1094" s="95"/>
      <c r="G1094" s="96">
        <v>1.9350000000000001</v>
      </c>
      <c r="H1094" s="97"/>
      <c r="I1094" s="95"/>
      <c r="J1094" s="95"/>
      <c r="K1094" s="95"/>
      <c r="L1094" s="95"/>
      <c r="M1094" s="95"/>
      <c r="N1094" s="95"/>
      <c r="O1094" s="95"/>
      <c r="P1094" s="95"/>
    </row>
    <row r="1095" spans="1:76" s="81" customFormat="1" x14ac:dyDescent="0.25">
      <c r="A1095" s="110"/>
      <c r="B1095" s="95"/>
      <c r="C1095" s="95"/>
      <c r="D1095" s="76" t="s">
        <v>1210</v>
      </c>
      <c r="E1095" s="76" t="s">
        <v>54</v>
      </c>
      <c r="F1095" s="95"/>
      <c r="G1095" s="96">
        <v>5.4171100000000001</v>
      </c>
      <c r="H1095" s="97"/>
      <c r="I1095" s="95"/>
      <c r="J1095" s="95"/>
      <c r="K1095" s="95"/>
      <c r="L1095" s="95"/>
      <c r="M1095" s="95"/>
      <c r="N1095" s="95"/>
      <c r="O1095" s="95"/>
      <c r="P1095" s="95"/>
    </row>
    <row r="1096" spans="1:76" s="81" customFormat="1" x14ac:dyDescent="0.25">
      <c r="A1096" s="110"/>
      <c r="B1096" s="95"/>
      <c r="C1096" s="95"/>
      <c r="D1096" s="76" t="s">
        <v>1211</v>
      </c>
      <c r="E1096" s="76" t="s">
        <v>54</v>
      </c>
      <c r="F1096" s="95"/>
      <c r="G1096" s="96">
        <v>2.5432999999999999</v>
      </c>
      <c r="H1096" s="97"/>
      <c r="I1096" s="95"/>
      <c r="J1096" s="95"/>
      <c r="K1096" s="95"/>
      <c r="L1096" s="95"/>
      <c r="M1096" s="95"/>
      <c r="N1096" s="95"/>
      <c r="O1096" s="95"/>
      <c r="P1096" s="95"/>
    </row>
    <row r="1097" spans="1:76" s="81" customFormat="1" x14ac:dyDescent="0.25">
      <c r="A1097" s="110"/>
      <c r="B1097" s="95"/>
      <c r="C1097" s="95"/>
      <c r="D1097" s="76" t="s">
        <v>54</v>
      </c>
      <c r="E1097" s="76" t="s">
        <v>443</v>
      </c>
      <c r="F1097" s="95"/>
      <c r="G1097" s="96">
        <v>0</v>
      </c>
      <c r="H1097" s="97"/>
      <c r="I1097" s="95"/>
      <c r="J1097" s="95"/>
      <c r="K1097" s="95"/>
      <c r="L1097" s="95"/>
      <c r="M1097" s="95"/>
      <c r="N1097" s="95"/>
      <c r="O1097" s="95"/>
      <c r="P1097" s="95"/>
    </row>
    <row r="1098" spans="1:76" s="81" customFormat="1" x14ac:dyDescent="0.25">
      <c r="A1098" s="110"/>
      <c r="B1098" s="95"/>
      <c r="C1098" s="95"/>
      <c r="D1098" s="76" t="s">
        <v>1212</v>
      </c>
      <c r="E1098" s="76" t="s">
        <v>54</v>
      </c>
      <c r="F1098" s="95"/>
      <c r="G1098" s="96">
        <v>10.373950000000001</v>
      </c>
      <c r="H1098" s="97"/>
      <c r="I1098" s="95"/>
      <c r="J1098" s="95"/>
      <c r="K1098" s="95"/>
      <c r="L1098" s="95"/>
      <c r="M1098" s="95"/>
      <c r="N1098" s="95"/>
      <c r="O1098" s="95"/>
      <c r="P1098" s="95"/>
    </row>
    <row r="1099" spans="1:76" s="81" customFormat="1" x14ac:dyDescent="0.25">
      <c r="A1099" s="66" t="s">
        <v>1213</v>
      </c>
      <c r="B1099" s="72" t="s">
        <v>55</v>
      </c>
      <c r="C1099" s="72" t="s">
        <v>1214</v>
      </c>
      <c r="D1099" s="174" t="s">
        <v>1215</v>
      </c>
      <c r="E1099" s="174"/>
      <c r="F1099" s="72" t="s">
        <v>192</v>
      </c>
      <c r="G1099" s="90">
        <v>72.72</v>
      </c>
      <c r="H1099" s="91"/>
      <c r="I1099" s="103">
        <v>21</v>
      </c>
      <c r="J1099" s="90">
        <f>ROUND(G1099*AO1099,2)</f>
        <v>0</v>
      </c>
      <c r="K1099" s="90">
        <f>ROUND(G1099*AP1099,2)</f>
        <v>0</v>
      </c>
      <c r="L1099" s="90">
        <f>ROUND(G1099*H1099,2)</f>
        <v>0</v>
      </c>
      <c r="M1099" s="90">
        <f>L1099*(1+BW1099/100)</f>
        <v>0</v>
      </c>
      <c r="N1099" s="90">
        <v>1.89E-2</v>
      </c>
      <c r="O1099" s="90">
        <f>G1099*N1099</f>
        <v>1.3744080000000001</v>
      </c>
      <c r="P1099" s="92" t="s">
        <v>371</v>
      </c>
      <c r="Z1099" s="93">
        <f>ROUND(IF(AQ1099="5",BJ1099,0),2)</f>
        <v>0</v>
      </c>
      <c r="AB1099" s="93">
        <f>ROUND(IF(AQ1099="1",BH1099,0),2)</f>
        <v>0</v>
      </c>
      <c r="AC1099" s="93">
        <f>ROUND(IF(AQ1099="1",BI1099,0),2)</f>
        <v>0</v>
      </c>
      <c r="AD1099" s="93">
        <f>ROUND(IF(AQ1099="7",BH1099,0),2)</f>
        <v>0</v>
      </c>
      <c r="AE1099" s="93">
        <f>ROUND(IF(AQ1099="7",BI1099,0),2)</f>
        <v>0</v>
      </c>
      <c r="AF1099" s="93">
        <f>ROUND(IF(AQ1099="2",BH1099,0),2)</f>
        <v>0</v>
      </c>
      <c r="AG1099" s="93">
        <f>ROUND(IF(AQ1099="2",BI1099,0),2)</f>
        <v>0</v>
      </c>
      <c r="AH1099" s="93">
        <f>ROUND(IF(AQ1099="0",BJ1099,0),2)</f>
        <v>0</v>
      </c>
      <c r="AI1099" s="88" t="s">
        <v>55</v>
      </c>
      <c r="AJ1099" s="93">
        <f>IF(AN1099=0,L1099,0)</f>
        <v>0</v>
      </c>
      <c r="AK1099" s="93">
        <f>IF(AN1099=12,L1099,0)</f>
        <v>0</v>
      </c>
      <c r="AL1099" s="93">
        <f>IF(AN1099=21,L1099,0)</f>
        <v>0</v>
      </c>
      <c r="AN1099" s="93">
        <v>21</v>
      </c>
      <c r="AO1099" s="93">
        <f>H1099*0.721000008</f>
        <v>0</v>
      </c>
      <c r="AP1099" s="93">
        <f>H1099*(1-0.721000008)</f>
        <v>0</v>
      </c>
      <c r="AQ1099" s="94" t="s">
        <v>59</v>
      </c>
      <c r="AV1099" s="93">
        <f>ROUND(AW1099+AX1099,2)</f>
        <v>0</v>
      </c>
      <c r="AW1099" s="93">
        <f>ROUND(G1099*AO1099,2)</f>
        <v>0</v>
      </c>
      <c r="AX1099" s="93">
        <f>ROUND(G1099*AP1099,2)</f>
        <v>0</v>
      </c>
      <c r="AY1099" s="94" t="s">
        <v>1101</v>
      </c>
      <c r="AZ1099" s="94" t="s">
        <v>871</v>
      </c>
      <c r="BA1099" s="88" t="s">
        <v>67</v>
      </c>
      <c r="BC1099" s="93">
        <f>AW1099+AX1099</f>
        <v>0</v>
      </c>
      <c r="BD1099" s="93">
        <f>H1099/(100-BE1099)*100</f>
        <v>0</v>
      </c>
      <c r="BE1099" s="93">
        <v>0</v>
      </c>
      <c r="BF1099" s="93">
        <f>O1099</f>
        <v>1.3744080000000001</v>
      </c>
      <c r="BH1099" s="93">
        <f>G1099*AO1099</f>
        <v>0</v>
      </c>
      <c r="BI1099" s="93">
        <f>G1099*AP1099</f>
        <v>0</v>
      </c>
      <c r="BJ1099" s="93">
        <f>G1099*H1099</f>
        <v>0</v>
      </c>
      <c r="BK1099" s="93"/>
      <c r="BL1099" s="93">
        <v>63</v>
      </c>
      <c r="BW1099" s="93">
        <f>I1099</f>
        <v>21</v>
      </c>
      <c r="BX1099" s="2" t="s">
        <v>1215</v>
      </c>
    </row>
    <row r="1100" spans="1:76" s="81" customFormat="1" x14ac:dyDescent="0.25">
      <c r="A1100" s="110"/>
      <c r="B1100" s="95"/>
      <c r="C1100" s="95"/>
      <c r="D1100" s="76" t="s">
        <v>54</v>
      </c>
      <c r="E1100" s="76" t="s">
        <v>1216</v>
      </c>
      <c r="F1100" s="95"/>
      <c r="G1100" s="96">
        <v>0</v>
      </c>
      <c r="H1100" s="97"/>
      <c r="I1100" s="95"/>
      <c r="J1100" s="95"/>
      <c r="K1100" s="95"/>
      <c r="L1100" s="95"/>
      <c r="M1100" s="95"/>
      <c r="N1100" s="95"/>
      <c r="O1100" s="95"/>
      <c r="P1100" s="95"/>
    </row>
    <row r="1101" spans="1:76" s="81" customFormat="1" x14ac:dyDescent="0.25">
      <c r="A1101" s="110"/>
      <c r="B1101" s="95"/>
      <c r="C1101" s="95"/>
      <c r="D1101" s="76" t="s">
        <v>54</v>
      </c>
      <c r="E1101" s="76" t="s">
        <v>443</v>
      </c>
      <c r="F1101" s="95"/>
      <c r="G1101" s="96">
        <v>0</v>
      </c>
      <c r="H1101" s="97"/>
      <c r="I1101" s="95"/>
      <c r="J1101" s="95"/>
      <c r="K1101" s="95"/>
      <c r="L1101" s="95"/>
      <c r="M1101" s="95"/>
      <c r="N1101" s="95"/>
      <c r="O1101" s="95"/>
      <c r="P1101" s="95"/>
    </row>
    <row r="1102" spans="1:76" s="81" customFormat="1" x14ac:dyDescent="0.25">
      <c r="A1102" s="110"/>
      <c r="B1102" s="95"/>
      <c r="C1102" s="95"/>
      <c r="D1102" s="76" t="s">
        <v>1217</v>
      </c>
      <c r="E1102" s="76" t="s">
        <v>54</v>
      </c>
      <c r="F1102" s="95"/>
      <c r="G1102" s="96">
        <v>72.72</v>
      </c>
      <c r="H1102" s="97"/>
      <c r="I1102" s="95"/>
      <c r="J1102" s="95"/>
      <c r="K1102" s="95"/>
      <c r="L1102" s="95"/>
      <c r="M1102" s="95"/>
      <c r="N1102" s="95"/>
      <c r="O1102" s="95"/>
      <c r="P1102" s="95"/>
    </row>
    <row r="1103" spans="1:76" s="81" customFormat="1" ht="15" customHeight="1" x14ac:dyDescent="0.25">
      <c r="A1103" s="66" t="s">
        <v>1219</v>
      </c>
      <c r="B1103" s="66" t="s">
        <v>55</v>
      </c>
      <c r="C1103" s="66" t="s">
        <v>4328</v>
      </c>
      <c r="D1103" s="174" t="s">
        <v>4329</v>
      </c>
      <c r="E1103" s="175"/>
      <c r="F1103" s="66" t="s">
        <v>192</v>
      </c>
      <c r="G1103" s="67">
        <v>10.954000000000001</v>
      </c>
      <c r="H1103" s="106"/>
      <c r="I1103" s="104">
        <v>21</v>
      </c>
      <c r="J1103" s="67">
        <f>ROUND(G1103*AO1103,2)</f>
        <v>0</v>
      </c>
      <c r="K1103" s="67">
        <f>ROUND(G1103*AP1103,2)</f>
        <v>0</v>
      </c>
      <c r="L1103" s="67">
        <f>ROUND(G1103*H1103,2)</f>
        <v>0</v>
      </c>
      <c r="M1103" s="67">
        <f>L1103*(1+BW1103/100)</f>
        <v>0</v>
      </c>
      <c r="N1103" s="67">
        <v>2.8899999999999999E-2</v>
      </c>
      <c r="O1103" s="67">
        <f>G1103*N1103</f>
        <v>0.31657059999999998</v>
      </c>
      <c r="P1103" s="105" t="s">
        <v>371</v>
      </c>
      <c r="Z1103" s="93">
        <f>ROUND(IF(AQ1103="5",BJ1103,0),2)</f>
        <v>0</v>
      </c>
      <c r="AB1103" s="93">
        <f>ROUND(IF(AQ1103="1",BH1103,0),2)</f>
        <v>0</v>
      </c>
      <c r="AC1103" s="93">
        <f>ROUND(IF(AQ1103="1",BI1103,0),2)</f>
        <v>0</v>
      </c>
      <c r="AD1103" s="93">
        <f>ROUND(IF(AQ1103="7",BH1103,0),2)</f>
        <v>0</v>
      </c>
      <c r="AE1103" s="93">
        <f>ROUND(IF(AQ1103="7",BI1103,0),2)</f>
        <v>0</v>
      </c>
      <c r="AF1103" s="93">
        <f>ROUND(IF(AQ1103="2",BH1103,0),2)</f>
        <v>0</v>
      </c>
      <c r="AG1103" s="93">
        <f>ROUND(IF(AQ1103="2",BI1103,0),2)</f>
        <v>0</v>
      </c>
      <c r="AH1103" s="93">
        <f>ROUND(IF(AQ1103="0",BJ1103,0),2)</f>
        <v>0</v>
      </c>
      <c r="AI1103" s="88" t="s">
        <v>55</v>
      </c>
      <c r="AJ1103" s="93">
        <f>IF(AN1103=0,L1103,0)</f>
        <v>0</v>
      </c>
      <c r="AK1103" s="93">
        <f>IF(AN1103=12,L1103,0)</f>
        <v>0</v>
      </c>
      <c r="AL1103" s="93">
        <f>IF(AN1103=21,L1103,0)</f>
        <v>0</v>
      </c>
      <c r="AN1103" s="93">
        <v>21</v>
      </c>
      <c r="AO1103" s="93">
        <f>H1103*0.721000008</f>
        <v>0</v>
      </c>
      <c r="AP1103" s="93">
        <f>H1103*(1-0.721000008)</f>
        <v>0</v>
      </c>
      <c r="AQ1103" s="94" t="s">
        <v>59</v>
      </c>
      <c r="AV1103" s="93">
        <f>ROUND(AW1103+AX1103,2)</f>
        <v>0</v>
      </c>
      <c r="AW1103" s="93">
        <f>ROUND(G1103*AO1103,2)</f>
        <v>0</v>
      </c>
      <c r="AX1103" s="93">
        <f>ROUND(G1103*AP1103,2)</f>
        <v>0</v>
      </c>
      <c r="AY1103" s="94" t="s">
        <v>1101</v>
      </c>
      <c r="AZ1103" s="94" t="s">
        <v>871</v>
      </c>
      <c r="BA1103" s="88" t="s">
        <v>67</v>
      </c>
      <c r="BC1103" s="93">
        <f>AW1103+AX1103</f>
        <v>0</v>
      </c>
      <c r="BD1103" s="93">
        <f>H1103/(100-BE1103)*100</f>
        <v>0</v>
      </c>
      <c r="BE1103" s="93">
        <v>0</v>
      </c>
      <c r="BF1103" s="93">
        <f>O1103</f>
        <v>0.31657059999999998</v>
      </c>
      <c r="BH1103" s="93">
        <f>G1103*AO1103</f>
        <v>0</v>
      </c>
      <c r="BI1103" s="93">
        <f>G1103*AP1103</f>
        <v>0</v>
      </c>
      <c r="BJ1103" s="93">
        <f>G1103*H1103</f>
        <v>0</v>
      </c>
      <c r="BK1103" s="93"/>
      <c r="BL1103" s="93">
        <v>63</v>
      </c>
      <c r="BW1103" s="93">
        <f>I1103</f>
        <v>21</v>
      </c>
      <c r="BX1103" s="2" t="s">
        <v>1215</v>
      </c>
    </row>
    <row r="1104" spans="1:76" ht="13.5" customHeight="1" x14ac:dyDescent="0.25">
      <c r="A1104" s="110"/>
      <c r="D1104" s="176" t="s">
        <v>4327</v>
      </c>
      <c r="E1104" s="177"/>
      <c r="F1104" s="177"/>
      <c r="G1104" s="177"/>
      <c r="H1104" s="177"/>
      <c r="I1104" s="177"/>
      <c r="J1104" s="177"/>
      <c r="K1104" s="177"/>
      <c r="L1104" s="177"/>
      <c r="M1104" s="177"/>
      <c r="N1104" s="177"/>
      <c r="O1104" s="177"/>
      <c r="P1104" s="178"/>
    </row>
    <row r="1105" spans="1:76" s="81" customFormat="1" x14ac:dyDescent="0.25">
      <c r="A1105" s="109" t="s">
        <v>54</v>
      </c>
      <c r="B1105" s="74" t="s">
        <v>55</v>
      </c>
      <c r="C1105" s="74" t="s">
        <v>564</v>
      </c>
      <c r="D1105" s="180" t="s">
        <v>1218</v>
      </c>
      <c r="E1105" s="180"/>
      <c r="F1105" s="85" t="s">
        <v>4</v>
      </c>
      <c r="G1105" s="85" t="s">
        <v>4</v>
      </c>
      <c r="H1105" s="98"/>
      <c r="I1105" s="85" t="s">
        <v>4</v>
      </c>
      <c r="J1105" s="86">
        <f>SUM(J1106:J1121)</f>
        <v>0</v>
      </c>
      <c r="K1105" s="86">
        <f>SUM(K1106:K1121)</f>
        <v>0</v>
      </c>
      <c r="L1105" s="86">
        <f>SUM(L1106:L1121)</f>
        <v>0</v>
      </c>
      <c r="M1105" s="86">
        <f>SUM(M1106:M1121)</f>
        <v>0</v>
      </c>
      <c r="N1105" s="87" t="s">
        <v>54</v>
      </c>
      <c r="O1105" s="86">
        <f>SUM(O1106:O1121)</f>
        <v>1.0279520999999998</v>
      </c>
      <c r="P1105" s="87" t="s">
        <v>54</v>
      </c>
      <c r="AI1105" s="88" t="s">
        <v>55</v>
      </c>
      <c r="AS1105" s="89">
        <f>SUM(AJ1106:AJ1121)</f>
        <v>0</v>
      </c>
      <c r="AT1105" s="89">
        <f>SUM(AK1106:AK1121)</f>
        <v>0</v>
      </c>
      <c r="AU1105" s="89">
        <f>SUM(AL1106:AL1121)</f>
        <v>0</v>
      </c>
    </row>
    <row r="1106" spans="1:76" s="81" customFormat="1" x14ac:dyDescent="0.25">
      <c r="A1106" s="66" t="s">
        <v>1247</v>
      </c>
      <c r="B1106" s="72" t="s">
        <v>55</v>
      </c>
      <c r="C1106" s="72" t="s">
        <v>1220</v>
      </c>
      <c r="D1106" s="174" t="s">
        <v>1221</v>
      </c>
      <c r="E1106" s="174"/>
      <c r="F1106" s="72" t="s">
        <v>213</v>
      </c>
      <c r="G1106" s="90">
        <v>42.48</v>
      </c>
      <c r="H1106" s="91"/>
      <c r="I1106" s="92" t="s">
        <v>63</v>
      </c>
      <c r="J1106" s="90">
        <f>G1106*AO1106</f>
        <v>0</v>
      </c>
      <c r="K1106" s="90">
        <f>G1106*AP1106</f>
        <v>0</v>
      </c>
      <c r="L1106" s="90">
        <f>G1106*H1106</f>
        <v>0</v>
      </c>
      <c r="M1106" s="90">
        <f>L1106*(1+BW1106/100)</f>
        <v>0</v>
      </c>
      <c r="N1106" s="90">
        <v>1.4069999999999999E-2</v>
      </c>
      <c r="O1106" s="90">
        <f>G1106*N1106</f>
        <v>0.59769359999999994</v>
      </c>
      <c r="P1106" s="92" t="s">
        <v>64</v>
      </c>
      <c r="Z1106" s="93">
        <f>IF(AQ1106="5",BJ1106,0)</f>
        <v>0</v>
      </c>
      <c r="AB1106" s="93">
        <f>IF(AQ1106="1",BH1106,0)</f>
        <v>0</v>
      </c>
      <c r="AC1106" s="93">
        <f>IF(AQ1106="1",BI1106,0)</f>
        <v>0</v>
      </c>
      <c r="AD1106" s="93">
        <f>IF(AQ1106="7",BH1106,0)</f>
        <v>0</v>
      </c>
      <c r="AE1106" s="93">
        <f>IF(AQ1106="7",BI1106,0)</f>
        <v>0</v>
      </c>
      <c r="AF1106" s="93">
        <f>IF(AQ1106="2",BH1106,0)</f>
        <v>0</v>
      </c>
      <c r="AG1106" s="93">
        <f>IF(AQ1106="2",BI1106,0)</f>
        <v>0</v>
      </c>
      <c r="AH1106" s="93">
        <f>IF(AQ1106="0",BJ1106,0)</f>
        <v>0</v>
      </c>
      <c r="AI1106" s="88" t="s">
        <v>55</v>
      </c>
      <c r="AJ1106" s="93">
        <f>IF(AN1106=0,L1106,0)</f>
        <v>0</v>
      </c>
      <c r="AK1106" s="93">
        <f>IF(AN1106=12,L1106,0)</f>
        <v>0</v>
      </c>
      <c r="AL1106" s="93">
        <f>IF(AN1106=21,L1106,0)</f>
        <v>0</v>
      </c>
      <c r="AN1106" s="93">
        <v>21</v>
      </c>
      <c r="AO1106" s="93">
        <f>H1106*0.636832061</f>
        <v>0</v>
      </c>
      <c r="AP1106" s="93">
        <f>H1106*(1-0.636832061)</f>
        <v>0</v>
      </c>
      <c r="AQ1106" s="94" t="s">
        <v>59</v>
      </c>
      <c r="AV1106" s="93">
        <f>AW1106+AX1106</f>
        <v>0</v>
      </c>
      <c r="AW1106" s="93">
        <f>G1106*AO1106</f>
        <v>0</v>
      </c>
      <c r="AX1106" s="93">
        <f>G1106*AP1106</f>
        <v>0</v>
      </c>
      <c r="AY1106" s="94" t="s">
        <v>1222</v>
      </c>
      <c r="AZ1106" s="94" t="s">
        <v>871</v>
      </c>
      <c r="BA1106" s="88" t="s">
        <v>67</v>
      </c>
      <c r="BC1106" s="93">
        <f>AW1106+AX1106</f>
        <v>0</v>
      </c>
      <c r="BD1106" s="93">
        <f>H1106/(100-BE1106)*100</f>
        <v>0</v>
      </c>
      <c r="BE1106" s="93">
        <v>0</v>
      </c>
      <c r="BF1106" s="93">
        <f>O1106</f>
        <v>0.59769359999999994</v>
      </c>
      <c r="BH1106" s="93">
        <f>G1106*AO1106</f>
        <v>0</v>
      </c>
      <c r="BI1106" s="93">
        <f>G1106*AP1106</f>
        <v>0</v>
      </c>
      <c r="BJ1106" s="93">
        <f>G1106*H1106</f>
        <v>0</v>
      </c>
      <c r="BK1106" s="93"/>
      <c r="BL1106" s="93">
        <v>64</v>
      </c>
      <c r="BW1106" s="93" t="str">
        <f>I1106</f>
        <v>21</v>
      </c>
      <c r="BX1106" s="2" t="s">
        <v>1221</v>
      </c>
    </row>
    <row r="1107" spans="1:76" s="81" customFormat="1" ht="13.5" customHeight="1" x14ac:dyDescent="0.25">
      <c r="A1107" s="110"/>
      <c r="B1107" s="95"/>
      <c r="C1107" s="95"/>
      <c r="D1107" s="179" t="s">
        <v>1223</v>
      </c>
      <c r="E1107" s="179"/>
      <c r="F1107" s="179"/>
      <c r="G1107" s="179"/>
      <c r="H1107" s="179"/>
      <c r="I1107" s="179"/>
      <c r="J1107" s="179"/>
      <c r="K1107" s="179"/>
      <c r="L1107" s="179"/>
      <c r="M1107" s="179"/>
      <c r="N1107" s="179"/>
      <c r="O1107" s="179"/>
      <c r="P1107" s="179"/>
    </row>
    <row r="1108" spans="1:76" s="81" customFormat="1" x14ac:dyDescent="0.25">
      <c r="A1108" s="110"/>
      <c r="B1108" s="95"/>
      <c r="C1108" s="95"/>
      <c r="D1108" s="76" t="s">
        <v>54</v>
      </c>
      <c r="E1108" s="76" t="s">
        <v>1224</v>
      </c>
      <c r="F1108" s="95"/>
      <c r="G1108" s="96">
        <v>0</v>
      </c>
      <c r="H1108" s="95"/>
      <c r="I1108" s="95"/>
      <c r="J1108" s="95"/>
      <c r="K1108" s="95"/>
      <c r="L1108" s="95"/>
      <c r="M1108" s="95"/>
      <c r="N1108" s="95"/>
      <c r="O1108" s="95"/>
      <c r="P1108" s="95"/>
    </row>
    <row r="1109" spans="1:76" s="81" customFormat="1" x14ac:dyDescent="0.25">
      <c r="A1109" s="110"/>
      <c r="B1109" s="95"/>
      <c r="C1109" s="95"/>
      <c r="D1109" s="76" t="s">
        <v>1225</v>
      </c>
      <c r="E1109" s="76" t="s">
        <v>1226</v>
      </c>
      <c r="F1109" s="95"/>
      <c r="G1109" s="96">
        <v>11.82</v>
      </c>
      <c r="H1109" s="95"/>
      <c r="I1109" s="95"/>
      <c r="J1109" s="95"/>
      <c r="K1109" s="95"/>
      <c r="L1109" s="95"/>
      <c r="M1109" s="95"/>
      <c r="N1109" s="95"/>
      <c r="O1109" s="95"/>
      <c r="P1109" s="95"/>
    </row>
    <row r="1110" spans="1:76" s="81" customFormat="1" x14ac:dyDescent="0.25">
      <c r="A1110" s="110"/>
      <c r="B1110" s="95"/>
      <c r="C1110" s="95"/>
      <c r="D1110" s="76" t="s">
        <v>1227</v>
      </c>
      <c r="E1110" s="76" t="s">
        <v>1228</v>
      </c>
      <c r="F1110" s="95"/>
      <c r="G1110" s="96">
        <v>4.58</v>
      </c>
      <c r="H1110" s="95"/>
      <c r="I1110" s="95"/>
      <c r="J1110" s="95"/>
      <c r="K1110" s="95"/>
      <c r="L1110" s="95"/>
      <c r="M1110" s="95"/>
      <c r="N1110" s="95"/>
      <c r="O1110" s="95"/>
      <c r="P1110" s="95"/>
    </row>
    <row r="1111" spans="1:76" s="81" customFormat="1" x14ac:dyDescent="0.25">
      <c r="A1111" s="110"/>
      <c r="B1111" s="95"/>
      <c r="C1111" s="95"/>
      <c r="D1111" s="76" t="s">
        <v>1229</v>
      </c>
      <c r="E1111" s="76" t="s">
        <v>1230</v>
      </c>
      <c r="F1111" s="95"/>
      <c r="G1111" s="96">
        <v>0.61</v>
      </c>
      <c r="H1111" s="95"/>
      <c r="I1111" s="95"/>
      <c r="J1111" s="95"/>
      <c r="K1111" s="95"/>
      <c r="L1111" s="95"/>
      <c r="M1111" s="95"/>
      <c r="N1111" s="95"/>
      <c r="O1111" s="95"/>
      <c r="P1111" s="95"/>
    </row>
    <row r="1112" spans="1:76" s="81" customFormat="1" x14ac:dyDescent="0.25">
      <c r="A1112" s="110"/>
      <c r="B1112" s="95"/>
      <c r="C1112" s="95"/>
      <c r="D1112" s="76" t="s">
        <v>1231</v>
      </c>
      <c r="E1112" s="76" t="s">
        <v>1232</v>
      </c>
      <c r="F1112" s="95"/>
      <c r="G1112" s="96">
        <v>6.12</v>
      </c>
      <c r="H1112" s="95"/>
      <c r="I1112" s="95"/>
      <c r="J1112" s="95"/>
      <c r="K1112" s="95"/>
      <c r="L1112" s="95"/>
      <c r="M1112" s="95"/>
      <c r="N1112" s="95"/>
      <c r="O1112" s="95"/>
      <c r="P1112" s="95"/>
    </row>
    <row r="1113" spans="1:76" s="81" customFormat="1" x14ac:dyDescent="0.25">
      <c r="A1113" s="110"/>
      <c r="B1113" s="95"/>
      <c r="C1113" s="95"/>
      <c r="D1113" s="76" t="s">
        <v>1233</v>
      </c>
      <c r="E1113" s="76" t="s">
        <v>1234</v>
      </c>
      <c r="F1113" s="95"/>
      <c r="G1113" s="96">
        <v>1.2</v>
      </c>
      <c r="H1113" s="95"/>
      <c r="I1113" s="95"/>
      <c r="J1113" s="95"/>
      <c r="K1113" s="95"/>
      <c r="L1113" s="95"/>
      <c r="M1113" s="95"/>
      <c r="N1113" s="95"/>
      <c r="O1113" s="95"/>
      <c r="P1113" s="95"/>
    </row>
    <row r="1114" spans="1:76" s="81" customFormat="1" x14ac:dyDescent="0.25">
      <c r="A1114" s="110"/>
      <c r="B1114" s="95"/>
      <c r="C1114" s="95"/>
      <c r="D1114" s="76" t="s">
        <v>1235</v>
      </c>
      <c r="E1114" s="76" t="s">
        <v>1236</v>
      </c>
      <c r="F1114" s="95"/>
      <c r="G1114" s="96">
        <v>2.48</v>
      </c>
      <c r="H1114" s="95"/>
      <c r="I1114" s="95"/>
      <c r="J1114" s="95"/>
      <c r="K1114" s="95"/>
      <c r="L1114" s="95"/>
      <c r="M1114" s="95"/>
      <c r="N1114" s="95"/>
      <c r="O1114" s="95"/>
      <c r="P1114" s="95"/>
    </row>
    <row r="1115" spans="1:76" s="81" customFormat="1" x14ac:dyDescent="0.25">
      <c r="A1115" s="110"/>
      <c r="B1115" s="95"/>
      <c r="C1115" s="95"/>
      <c r="D1115" s="76" t="s">
        <v>1237</v>
      </c>
      <c r="E1115" s="76" t="s">
        <v>1238</v>
      </c>
      <c r="F1115" s="95"/>
      <c r="G1115" s="96">
        <v>1.4</v>
      </c>
      <c r="H1115" s="95"/>
      <c r="I1115" s="95"/>
      <c r="J1115" s="95"/>
      <c r="K1115" s="95"/>
      <c r="L1115" s="95"/>
      <c r="M1115" s="95"/>
      <c r="N1115" s="95"/>
      <c r="O1115" s="95"/>
      <c r="P1115" s="95"/>
    </row>
    <row r="1116" spans="1:76" s="81" customFormat="1" x14ac:dyDescent="0.25">
      <c r="A1116" s="110"/>
      <c r="B1116" s="95"/>
      <c r="C1116" s="95"/>
      <c r="D1116" s="76" t="s">
        <v>1239</v>
      </c>
      <c r="E1116" s="76" t="s">
        <v>1240</v>
      </c>
      <c r="F1116" s="95"/>
      <c r="G1116" s="96">
        <v>0</v>
      </c>
      <c r="H1116" s="95"/>
      <c r="I1116" s="95"/>
      <c r="J1116" s="95"/>
      <c r="K1116" s="95"/>
      <c r="L1116" s="95"/>
      <c r="M1116" s="95"/>
      <c r="N1116" s="95"/>
      <c r="O1116" s="95"/>
      <c r="P1116" s="95"/>
    </row>
    <row r="1117" spans="1:76" s="81" customFormat="1" x14ac:dyDescent="0.25">
      <c r="A1117" s="110"/>
      <c r="B1117" s="95"/>
      <c r="C1117" s="95"/>
      <c r="D1117" s="76" t="s">
        <v>1241</v>
      </c>
      <c r="E1117" s="76" t="s">
        <v>1242</v>
      </c>
      <c r="F1117" s="95"/>
      <c r="G1117" s="96">
        <v>5.16</v>
      </c>
      <c r="H1117" s="95"/>
      <c r="I1117" s="95"/>
      <c r="J1117" s="95"/>
      <c r="K1117" s="95"/>
      <c r="L1117" s="95"/>
      <c r="M1117" s="95"/>
      <c r="N1117" s="95"/>
      <c r="O1117" s="95"/>
      <c r="P1117" s="95"/>
    </row>
    <row r="1118" spans="1:76" s="81" customFormat="1" x14ac:dyDescent="0.25">
      <c r="A1118" s="110"/>
      <c r="B1118" s="95"/>
      <c r="C1118" s="95"/>
      <c r="D1118" s="76" t="s">
        <v>1243</v>
      </c>
      <c r="E1118" s="76" t="s">
        <v>1244</v>
      </c>
      <c r="F1118" s="95"/>
      <c r="G1118" s="96">
        <v>3.52</v>
      </c>
      <c r="H1118" s="95"/>
      <c r="I1118" s="95"/>
      <c r="J1118" s="95"/>
      <c r="K1118" s="95"/>
      <c r="L1118" s="95"/>
      <c r="M1118" s="95"/>
      <c r="N1118" s="95"/>
      <c r="O1118" s="95"/>
      <c r="P1118" s="95"/>
    </row>
    <row r="1119" spans="1:76" s="81" customFormat="1" x14ac:dyDescent="0.25">
      <c r="A1119" s="110"/>
      <c r="B1119" s="95"/>
      <c r="C1119" s="95"/>
      <c r="D1119" s="76" t="s">
        <v>1243</v>
      </c>
      <c r="E1119" s="76" t="s">
        <v>1244</v>
      </c>
      <c r="F1119" s="95"/>
      <c r="G1119" s="96">
        <v>3.52</v>
      </c>
      <c r="H1119" s="95"/>
      <c r="I1119" s="95"/>
      <c r="J1119" s="95"/>
      <c r="K1119" s="95"/>
      <c r="L1119" s="95"/>
      <c r="M1119" s="95"/>
      <c r="N1119" s="95"/>
      <c r="O1119" s="95"/>
      <c r="P1119" s="95"/>
    </row>
    <row r="1120" spans="1:76" s="81" customFormat="1" x14ac:dyDescent="0.25">
      <c r="A1120" s="110"/>
      <c r="B1120" s="95"/>
      <c r="C1120" s="95"/>
      <c r="D1120" s="76" t="s">
        <v>1245</v>
      </c>
      <c r="E1120" s="76" t="s">
        <v>1246</v>
      </c>
      <c r="F1120" s="95"/>
      <c r="G1120" s="96">
        <v>2.0699999999999998</v>
      </c>
      <c r="H1120" s="95"/>
      <c r="I1120" s="95"/>
      <c r="J1120" s="95"/>
      <c r="K1120" s="95"/>
      <c r="L1120" s="95"/>
      <c r="M1120" s="95"/>
      <c r="N1120" s="95"/>
      <c r="O1120" s="95"/>
      <c r="P1120" s="95"/>
    </row>
    <row r="1121" spans="1:76" s="81" customFormat="1" x14ac:dyDescent="0.25">
      <c r="A1121" s="66" t="s">
        <v>1269</v>
      </c>
      <c r="B1121" s="72" t="s">
        <v>55</v>
      </c>
      <c r="C1121" s="72" t="s">
        <v>1248</v>
      </c>
      <c r="D1121" s="174" t="s">
        <v>1249</v>
      </c>
      <c r="E1121" s="174"/>
      <c r="F1121" s="72" t="s">
        <v>213</v>
      </c>
      <c r="G1121" s="90">
        <v>39.15</v>
      </c>
      <c r="H1121" s="91"/>
      <c r="I1121" s="92" t="s">
        <v>63</v>
      </c>
      <c r="J1121" s="90">
        <f>G1121*AO1121</f>
        <v>0</v>
      </c>
      <c r="K1121" s="90">
        <f>G1121*AP1121</f>
        <v>0</v>
      </c>
      <c r="L1121" s="90">
        <f>G1121*H1121</f>
        <v>0</v>
      </c>
      <c r="M1121" s="90">
        <f>L1121*(1+BW1121/100)</f>
        <v>0</v>
      </c>
      <c r="N1121" s="90">
        <v>1.099E-2</v>
      </c>
      <c r="O1121" s="90">
        <f>G1121*N1121</f>
        <v>0.43025849999999999</v>
      </c>
      <c r="P1121" s="92" t="s">
        <v>64</v>
      </c>
      <c r="Z1121" s="93">
        <f>IF(AQ1121="5",BJ1121,0)</f>
        <v>0</v>
      </c>
      <c r="AB1121" s="93">
        <f>IF(AQ1121="1",BH1121,0)</f>
        <v>0</v>
      </c>
      <c r="AC1121" s="93">
        <f>IF(AQ1121="1",BI1121,0)</f>
        <v>0</v>
      </c>
      <c r="AD1121" s="93">
        <f>IF(AQ1121="7",BH1121,0)</f>
        <v>0</v>
      </c>
      <c r="AE1121" s="93">
        <f>IF(AQ1121="7",BI1121,0)</f>
        <v>0</v>
      </c>
      <c r="AF1121" s="93">
        <f>IF(AQ1121="2",BH1121,0)</f>
        <v>0</v>
      </c>
      <c r="AG1121" s="93">
        <f>IF(AQ1121="2",BI1121,0)</f>
        <v>0</v>
      </c>
      <c r="AH1121" s="93">
        <f>IF(AQ1121="0",BJ1121,0)</f>
        <v>0</v>
      </c>
      <c r="AI1121" s="88" t="s">
        <v>55</v>
      </c>
      <c r="AJ1121" s="93">
        <f>IF(AN1121=0,L1121,0)</f>
        <v>0</v>
      </c>
      <c r="AK1121" s="93">
        <f>IF(AN1121=12,L1121,0)</f>
        <v>0</v>
      </c>
      <c r="AL1121" s="93">
        <f>IF(AN1121=21,L1121,0)</f>
        <v>0</v>
      </c>
      <c r="AN1121" s="93">
        <v>21</v>
      </c>
      <c r="AO1121" s="93">
        <f>H1121*0.7075</f>
        <v>0</v>
      </c>
      <c r="AP1121" s="93">
        <f>H1121*(1-0.7075)</f>
        <v>0</v>
      </c>
      <c r="AQ1121" s="94" t="s">
        <v>59</v>
      </c>
      <c r="AV1121" s="93">
        <f>AW1121+AX1121</f>
        <v>0</v>
      </c>
      <c r="AW1121" s="93">
        <f>G1121*AO1121</f>
        <v>0</v>
      </c>
      <c r="AX1121" s="93">
        <f>G1121*AP1121</f>
        <v>0</v>
      </c>
      <c r="AY1121" s="94" t="s">
        <v>1222</v>
      </c>
      <c r="AZ1121" s="94" t="s">
        <v>871</v>
      </c>
      <c r="BA1121" s="88" t="s">
        <v>67</v>
      </c>
      <c r="BC1121" s="93">
        <f>AW1121+AX1121</f>
        <v>0</v>
      </c>
      <c r="BD1121" s="93">
        <f>H1121/(100-BE1121)*100</f>
        <v>0</v>
      </c>
      <c r="BE1121" s="93">
        <v>0</v>
      </c>
      <c r="BF1121" s="93">
        <f>O1121</f>
        <v>0.43025849999999999</v>
      </c>
      <c r="BH1121" s="93">
        <f>G1121*AO1121</f>
        <v>0</v>
      </c>
      <c r="BI1121" s="93">
        <f>G1121*AP1121</f>
        <v>0</v>
      </c>
      <c r="BJ1121" s="93">
        <f>G1121*H1121</f>
        <v>0</v>
      </c>
      <c r="BK1121" s="93"/>
      <c r="BL1121" s="93">
        <v>64</v>
      </c>
      <c r="BW1121" s="93" t="str">
        <f>I1121</f>
        <v>21</v>
      </c>
      <c r="BX1121" s="2" t="s">
        <v>1249</v>
      </c>
    </row>
    <row r="1122" spans="1:76" s="81" customFormat="1" ht="13.5" customHeight="1" x14ac:dyDescent="0.25">
      <c r="A1122" s="110"/>
      <c r="B1122" s="95"/>
      <c r="C1122" s="95"/>
      <c r="D1122" s="179" t="s">
        <v>1250</v>
      </c>
      <c r="E1122" s="179"/>
      <c r="F1122" s="179"/>
      <c r="G1122" s="179"/>
      <c r="H1122" s="179"/>
      <c r="I1122" s="179"/>
      <c r="J1122" s="179"/>
      <c r="K1122" s="179"/>
      <c r="L1122" s="179"/>
      <c r="M1122" s="179"/>
      <c r="N1122" s="179"/>
      <c r="O1122" s="179"/>
      <c r="P1122" s="179"/>
    </row>
    <row r="1123" spans="1:76" s="81" customFormat="1" x14ac:dyDescent="0.25">
      <c r="A1123" s="110"/>
      <c r="B1123" s="95"/>
      <c r="C1123" s="95"/>
      <c r="D1123" s="76" t="s">
        <v>54</v>
      </c>
      <c r="E1123" s="76" t="s">
        <v>1224</v>
      </c>
      <c r="F1123" s="95"/>
      <c r="G1123" s="96">
        <v>0</v>
      </c>
      <c r="H1123" s="95"/>
      <c r="I1123" s="95"/>
      <c r="J1123" s="95"/>
      <c r="K1123" s="95"/>
      <c r="L1123" s="95"/>
      <c r="M1123" s="95"/>
      <c r="N1123" s="95"/>
      <c r="O1123" s="95"/>
      <c r="P1123" s="95"/>
    </row>
    <row r="1124" spans="1:76" s="81" customFormat="1" x14ac:dyDescent="0.25">
      <c r="A1124" s="110"/>
      <c r="B1124" s="95"/>
      <c r="C1124" s="95"/>
      <c r="D1124" s="76" t="s">
        <v>1251</v>
      </c>
      <c r="E1124" s="76" t="s">
        <v>1252</v>
      </c>
      <c r="F1124" s="95"/>
      <c r="G1124" s="96">
        <v>7.1749999999999998</v>
      </c>
      <c r="H1124" s="95"/>
      <c r="I1124" s="95"/>
      <c r="J1124" s="95"/>
      <c r="K1124" s="95"/>
      <c r="L1124" s="95"/>
      <c r="M1124" s="95"/>
      <c r="N1124" s="95"/>
      <c r="O1124" s="95"/>
      <c r="P1124" s="95"/>
    </row>
    <row r="1125" spans="1:76" s="81" customFormat="1" x14ac:dyDescent="0.25">
      <c r="A1125" s="110"/>
      <c r="B1125" s="95"/>
      <c r="C1125" s="95"/>
      <c r="D1125" s="76" t="s">
        <v>1253</v>
      </c>
      <c r="E1125" s="76" t="s">
        <v>1254</v>
      </c>
      <c r="F1125" s="95"/>
      <c r="G1125" s="96">
        <v>4.7</v>
      </c>
      <c r="H1125" s="95"/>
      <c r="I1125" s="95"/>
      <c r="J1125" s="95"/>
      <c r="K1125" s="95"/>
      <c r="L1125" s="95"/>
      <c r="M1125" s="95"/>
      <c r="N1125" s="95"/>
      <c r="O1125" s="95"/>
      <c r="P1125" s="95"/>
    </row>
    <row r="1126" spans="1:76" s="81" customFormat="1" x14ac:dyDescent="0.25">
      <c r="A1126" s="110"/>
      <c r="B1126" s="95"/>
      <c r="C1126" s="95"/>
      <c r="D1126" s="76" t="s">
        <v>1255</v>
      </c>
      <c r="E1126" s="76" t="s">
        <v>1256</v>
      </c>
      <c r="F1126" s="95"/>
      <c r="G1126" s="96">
        <v>2.2999999999999998</v>
      </c>
      <c r="H1126" s="95"/>
      <c r="I1126" s="95"/>
      <c r="J1126" s="95"/>
      <c r="K1126" s="95"/>
      <c r="L1126" s="95"/>
      <c r="M1126" s="95"/>
      <c r="N1126" s="95"/>
      <c r="O1126" s="95"/>
      <c r="P1126" s="95"/>
    </row>
    <row r="1127" spans="1:76" s="81" customFormat="1" x14ac:dyDescent="0.25">
      <c r="A1127" s="110"/>
      <c r="B1127" s="95"/>
      <c r="C1127" s="95"/>
      <c r="D1127" s="76" t="s">
        <v>1257</v>
      </c>
      <c r="E1127" s="76" t="s">
        <v>1258</v>
      </c>
      <c r="F1127" s="95"/>
      <c r="G1127" s="96">
        <v>1</v>
      </c>
      <c r="H1127" s="95"/>
      <c r="I1127" s="95"/>
      <c r="J1127" s="95"/>
      <c r="K1127" s="95"/>
      <c r="L1127" s="95"/>
      <c r="M1127" s="95"/>
      <c r="N1127" s="95"/>
      <c r="O1127" s="95"/>
      <c r="P1127" s="95"/>
    </row>
    <row r="1128" spans="1:76" s="81" customFormat="1" x14ac:dyDescent="0.25">
      <c r="A1128" s="110"/>
      <c r="B1128" s="95"/>
      <c r="C1128" s="95"/>
      <c r="D1128" s="76" t="s">
        <v>1259</v>
      </c>
      <c r="E1128" s="76" t="s">
        <v>1260</v>
      </c>
      <c r="F1128" s="95"/>
      <c r="G1128" s="96">
        <v>1.1000000000000001</v>
      </c>
      <c r="H1128" s="95"/>
      <c r="I1128" s="95"/>
      <c r="J1128" s="95"/>
      <c r="K1128" s="95"/>
      <c r="L1128" s="95"/>
      <c r="M1128" s="95"/>
      <c r="N1128" s="95"/>
      <c r="O1128" s="95"/>
      <c r="P1128" s="95"/>
    </row>
    <row r="1129" spans="1:76" s="81" customFormat="1" x14ac:dyDescent="0.25">
      <c r="A1129" s="110"/>
      <c r="B1129" s="95"/>
      <c r="C1129" s="95"/>
      <c r="D1129" s="76" t="s">
        <v>1261</v>
      </c>
      <c r="E1129" s="76" t="s">
        <v>1260</v>
      </c>
      <c r="F1129" s="95"/>
      <c r="G1129" s="96">
        <v>3.4649999999999999</v>
      </c>
      <c r="H1129" s="95"/>
      <c r="I1129" s="95"/>
      <c r="J1129" s="95"/>
      <c r="K1129" s="95"/>
      <c r="L1129" s="95"/>
      <c r="M1129" s="95"/>
      <c r="N1129" s="95"/>
      <c r="O1129" s="95"/>
      <c r="P1129" s="95"/>
    </row>
    <row r="1130" spans="1:76" s="81" customFormat="1" x14ac:dyDescent="0.25">
      <c r="A1130" s="110"/>
      <c r="B1130" s="95"/>
      <c r="C1130" s="95"/>
      <c r="D1130" s="76" t="s">
        <v>1262</v>
      </c>
      <c r="E1130" s="76" t="s">
        <v>1263</v>
      </c>
      <c r="F1130" s="95"/>
      <c r="G1130" s="96">
        <v>3.19</v>
      </c>
      <c r="H1130" s="95"/>
      <c r="I1130" s="95"/>
      <c r="J1130" s="95"/>
      <c r="K1130" s="95"/>
      <c r="L1130" s="95"/>
      <c r="M1130" s="95"/>
      <c r="N1130" s="95"/>
      <c r="O1130" s="95"/>
      <c r="P1130" s="95"/>
    </row>
    <row r="1131" spans="1:76" s="81" customFormat="1" x14ac:dyDescent="0.25">
      <c r="A1131" s="110"/>
      <c r="B1131" s="95"/>
      <c r="C1131" s="95"/>
      <c r="D1131" s="76" t="s">
        <v>1264</v>
      </c>
      <c r="E1131" s="76" t="s">
        <v>1265</v>
      </c>
      <c r="F1131" s="95"/>
      <c r="G1131" s="96">
        <v>13.38</v>
      </c>
      <c r="H1131" s="95"/>
      <c r="I1131" s="95"/>
      <c r="J1131" s="95"/>
      <c r="K1131" s="95"/>
      <c r="L1131" s="95"/>
      <c r="M1131" s="95"/>
      <c r="N1131" s="95"/>
      <c r="O1131" s="95"/>
      <c r="P1131" s="95"/>
    </row>
    <row r="1132" spans="1:76" s="81" customFormat="1" x14ac:dyDescent="0.25">
      <c r="A1132" s="110"/>
      <c r="B1132" s="95"/>
      <c r="C1132" s="95"/>
      <c r="D1132" s="76" t="s">
        <v>1266</v>
      </c>
      <c r="E1132" s="76" t="s">
        <v>1267</v>
      </c>
      <c r="F1132" s="95"/>
      <c r="G1132" s="96">
        <v>2.84</v>
      </c>
      <c r="H1132" s="95"/>
      <c r="I1132" s="95"/>
      <c r="J1132" s="95"/>
      <c r="K1132" s="95"/>
      <c r="L1132" s="95"/>
      <c r="M1132" s="95"/>
      <c r="N1132" s="95"/>
      <c r="O1132" s="95"/>
      <c r="P1132" s="95"/>
    </row>
    <row r="1133" spans="1:76" s="81" customFormat="1" x14ac:dyDescent="0.25">
      <c r="A1133" s="109" t="s">
        <v>54</v>
      </c>
      <c r="B1133" s="74" t="s">
        <v>55</v>
      </c>
      <c r="C1133" s="74" t="s">
        <v>806</v>
      </c>
      <c r="D1133" s="180" t="s">
        <v>1268</v>
      </c>
      <c r="E1133" s="180"/>
      <c r="F1133" s="85" t="s">
        <v>4</v>
      </c>
      <c r="G1133" s="85" t="s">
        <v>4</v>
      </c>
      <c r="H1133" s="85" t="s">
        <v>4</v>
      </c>
      <c r="I1133" s="85" t="s">
        <v>4</v>
      </c>
      <c r="J1133" s="86">
        <f>SUM(J1134:J1160)</f>
        <v>0</v>
      </c>
      <c r="K1133" s="86">
        <f>SUM(K1134:K1160)</f>
        <v>0</v>
      </c>
      <c r="L1133" s="86">
        <f>SUM(L1134:L1160)</f>
        <v>0</v>
      </c>
      <c r="M1133" s="86">
        <f>SUM(M1134:M1160)</f>
        <v>0</v>
      </c>
      <c r="N1133" s="87" t="s">
        <v>54</v>
      </c>
      <c r="O1133" s="86">
        <f>SUM(O1134:O1160)</f>
        <v>29.642601745</v>
      </c>
      <c r="P1133" s="87" t="s">
        <v>54</v>
      </c>
      <c r="AI1133" s="88" t="s">
        <v>55</v>
      </c>
      <c r="AS1133" s="89">
        <f>SUM(AJ1134:AJ1160)</f>
        <v>0</v>
      </c>
      <c r="AT1133" s="89">
        <f>SUM(AK1134:AK1160)</f>
        <v>0</v>
      </c>
      <c r="AU1133" s="89">
        <f>SUM(AL1134:AL1160)</f>
        <v>0</v>
      </c>
    </row>
    <row r="1134" spans="1:76" s="81" customFormat="1" x14ac:dyDescent="0.25">
      <c r="A1134" s="66" t="s">
        <v>1276</v>
      </c>
      <c r="B1134" s="72" t="s">
        <v>55</v>
      </c>
      <c r="C1134" s="72" t="s">
        <v>1270</v>
      </c>
      <c r="D1134" s="174" t="s">
        <v>1271</v>
      </c>
      <c r="E1134" s="174"/>
      <c r="F1134" s="72" t="s">
        <v>62</v>
      </c>
      <c r="G1134" s="90">
        <v>351.87592000000001</v>
      </c>
      <c r="H1134" s="91"/>
      <c r="I1134" s="92" t="s">
        <v>63</v>
      </c>
      <c r="J1134" s="90">
        <f>G1134*AO1134</f>
        <v>0</v>
      </c>
      <c r="K1134" s="90">
        <f>G1134*AP1134</f>
        <v>0</v>
      </c>
      <c r="L1134" s="90">
        <f>G1134*H1134</f>
        <v>0</v>
      </c>
      <c r="M1134" s="90">
        <f>L1134*(1+BW1134/100)</f>
        <v>0</v>
      </c>
      <c r="N1134" s="90">
        <v>7.3499999999999998E-3</v>
      </c>
      <c r="O1134" s="90">
        <f>G1134*N1134</f>
        <v>2.5862880119999998</v>
      </c>
      <c r="P1134" s="92" t="s">
        <v>64</v>
      </c>
      <c r="Z1134" s="93">
        <f>IF(AQ1134="5",BJ1134,0)</f>
        <v>0</v>
      </c>
      <c r="AB1134" s="93">
        <f>IF(AQ1134="1",BH1134,0)</f>
        <v>0</v>
      </c>
      <c r="AC1134" s="93">
        <f>IF(AQ1134="1",BI1134,0)</f>
        <v>0</v>
      </c>
      <c r="AD1134" s="93">
        <f>IF(AQ1134="7",BH1134,0)</f>
        <v>0</v>
      </c>
      <c r="AE1134" s="93">
        <f>IF(AQ1134="7",BI1134,0)</f>
        <v>0</v>
      </c>
      <c r="AF1134" s="93">
        <f>IF(AQ1134="2",BH1134,0)</f>
        <v>0</v>
      </c>
      <c r="AG1134" s="93">
        <f>IF(AQ1134="2",BI1134,0)</f>
        <v>0</v>
      </c>
      <c r="AH1134" s="93">
        <f>IF(AQ1134="0",BJ1134,0)</f>
        <v>0</v>
      </c>
      <c r="AI1134" s="88" t="s">
        <v>55</v>
      </c>
      <c r="AJ1134" s="93">
        <f>IF(AN1134=0,L1134,0)</f>
        <v>0</v>
      </c>
      <c r="AK1134" s="93">
        <f>IF(AN1134=12,L1134,0)</f>
        <v>0</v>
      </c>
      <c r="AL1134" s="93">
        <f>IF(AN1134=21,L1134,0)</f>
        <v>0</v>
      </c>
      <c r="AN1134" s="93">
        <v>21</v>
      </c>
      <c r="AO1134" s="93">
        <f>H1134*0.000566572</f>
        <v>0</v>
      </c>
      <c r="AP1134" s="93">
        <f>H1134*(1-0.000566572)</f>
        <v>0</v>
      </c>
      <c r="AQ1134" s="94" t="s">
        <v>59</v>
      </c>
      <c r="AV1134" s="93">
        <f>AW1134+AX1134</f>
        <v>0</v>
      </c>
      <c r="AW1134" s="93">
        <f>G1134*AO1134</f>
        <v>0</v>
      </c>
      <c r="AX1134" s="93">
        <f>G1134*AP1134</f>
        <v>0</v>
      </c>
      <c r="AY1134" s="94" t="s">
        <v>1272</v>
      </c>
      <c r="AZ1134" s="94" t="s">
        <v>1273</v>
      </c>
      <c r="BA1134" s="88" t="s">
        <v>67</v>
      </c>
      <c r="BC1134" s="93">
        <f>AW1134+AX1134</f>
        <v>0</v>
      </c>
      <c r="BD1134" s="93">
        <f>H1134/(100-BE1134)*100</f>
        <v>0</v>
      </c>
      <c r="BE1134" s="93">
        <v>0</v>
      </c>
      <c r="BF1134" s="93">
        <f>O1134</f>
        <v>2.5862880119999998</v>
      </c>
      <c r="BH1134" s="93">
        <f>G1134*AO1134</f>
        <v>0</v>
      </c>
      <c r="BI1134" s="93">
        <f>G1134*AP1134</f>
        <v>0</v>
      </c>
      <c r="BJ1134" s="93">
        <f>G1134*H1134</f>
        <v>0</v>
      </c>
      <c r="BK1134" s="93"/>
      <c r="BL1134" s="93">
        <v>94</v>
      </c>
      <c r="BW1134" s="93" t="str">
        <f>I1134</f>
        <v>21</v>
      </c>
      <c r="BX1134" s="2" t="s">
        <v>1271</v>
      </c>
    </row>
    <row r="1135" spans="1:76" s="81" customFormat="1" ht="38.25" x14ac:dyDescent="0.25">
      <c r="A1135" s="110"/>
      <c r="B1135" s="95"/>
      <c r="C1135" s="95"/>
      <c r="D1135" s="76" t="s">
        <v>1274</v>
      </c>
      <c r="E1135" s="76" t="s">
        <v>1275</v>
      </c>
      <c r="F1135" s="95"/>
      <c r="G1135" s="96">
        <v>351.87592000000001</v>
      </c>
      <c r="H1135" s="97"/>
      <c r="I1135" s="95"/>
      <c r="J1135" s="95"/>
      <c r="K1135" s="95"/>
      <c r="L1135" s="95"/>
      <c r="M1135" s="95"/>
      <c r="N1135" s="95"/>
      <c r="O1135" s="95"/>
      <c r="P1135" s="95"/>
    </row>
    <row r="1136" spans="1:76" s="81" customFormat="1" x14ac:dyDescent="0.25">
      <c r="A1136" s="66" t="s">
        <v>1279</v>
      </c>
      <c r="B1136" s="72" t="s">
        <v>55</v>
      </c>
      <c r="C1136" s="72" t="s">
        <v>1277</v>
      </c>
      <c r="D1136" s="174" t="s">
        <v>1278</v>
      </c>
      <c r="E1136" s="174"/>
      <c r="F1136" s="72" t="s">
        <v>62</v>
      </c>
      <c r="G1136" s="90">
        <v>482.39064999999999</v>
      </c>
      <c r="H1136" s="91"/>
      <c r="I1136" s="92" t="s">
        <v>63</v>
      </c>
      <c r="J1136" s="90">
        <f>G1136*AO1136</f>
        <v>0</v>
      </c>
      <c r="K1136" s="90">
        <f>G1136*AP1136</f>
        <v>0</v>
      </c>
      <c r="L1136" s="90">
        <f>G1136*H1136</f>
        <v>0</v>
      </c>
      <c r="M1136" s="90">
        <f>L1136*(1+BW1136/100)</f>
        <v>0</v>
      </c>
      <c r="N1136" s="90">
        <v>1.2E-4</v>
      </c>
      <c r="O1136" s="90">
        <f>G1136*N1136</f>
        <v>5.7886878000000003E-2</v>
      </c>
      <c r="P1136" s="92" t="s">
        <v>64</v>
      </c>
      <c r="Z1136" s="93">
        <f>IF(AQ1136="5",BJ1136,0)</f>
        <v>0</v>
      </c>
      <c r="AB1136" s="93">
        <f>IF(AQ1136="1",BH1136,0)</f>
        <v>0</v>
      </c>
      <c r="AC1136" s="93">
        <f>IF(AQ1136="1",BI1136,0)</f>
        <v>0</v>
      </c>
      <c r="AD1136" s="93">
        <f>IF(AQ1136="7",BH1136,0)</f>
        <v>0</v>
      </c>
      <c r="AE1136" s="93">
        <f>IF(AQ1136="7",BI1136,0)</f>
        <v>0</v>
      </c>
      <c r="AF1136" s="93">
        <f>IF(AQ1136="2",BH1136,0)</f>
        <v>0</v>
      </c>
      <c r="AG1136" s="93">
        <f>IF(AQ1136="2",BI1136,0)</f>
        <v>0</v>
      </c>
      <c r="AH1136" s="93">
        <f>IF(AQ1136="0",BJ1136,0)</f>
        <v>0</v>
      </c>
      <c r="AI1136" s="88" t="s">
        <v>55</v>
      </c>
      <c r="AJ1136" s="93">
        <f>IF(AN1136=0,L1136,0)</f>
        <v>0</v>
      </c>
      <c r="AK1136" s="93">
        <f>IF(AN1136=12,L1136,0)</f>
        <v>0</v>
      </c>
      <c r="AL1136" s="93">
        <f>IF(AN1136=21,L1136,0)</f>
        <v>0</v>
      </c>
      <c r="AN1136" s="93">
        <v>21</v>
      </c>
      <c r="AO1136" s="93">
        <f>H1136*0.9414898</f>
        <v>0</v>
      </c>
      <c r="AP1136" s="93">
        <f>H1136*(1-0.9414898)</f>
        <v>0</v>
      </c>
      <c r="AQ1136" s="94" t="s">
        <v>59</v>
      </c>
      <c r="AV1136" s="93">
        <f>AW1136+AX1136</f>
        <v>0</v>
      </c>
      <c r="AW1136" s="93">
        <f>G1136*AO1136</f>
        <v>0</v>
      </c>
      <c r="AX1136" s="93">
        <f>G1136*AP1136</f>
        <v>0</v>
      </c>
      <c r="AY1136" s="94" t="s">
        <v>1272</v>
      </c>
      <c r="AZ1136" s="94" t="s">
        <v>1273</v>
      </c>
      <c r="BA1136" s="88" t="s">
        <v>67</v>
      </c>
      <c r="BC1136" s="93">
        <f>AW1136+AX1136</f>
        <v>0</v>
      </c>
      <c r="BD1136" s="93">
        <f>H1136/(100-BE1136)*100</f>
        <v>0</v>
      </c>
      <c r="BE1136" s="93">
        <v>0</v>
      </c>
      <c r="BF1136" s="93">
        <f>O1136</f>
        <v>5.7886878000000003E-2</v>
      </c>
      <c r="BH1136" s="93">
        <f>G1136*AO1136</f>
        <v>0</v>
      </c>
      <c r="BI1136" s="93">
        <f>G1136*AP1136</f>
        <v>0</v>
      </c>
      <c r="BJ1136" s="93">
        <f>G1136*H1136</f>
        <v>0</v>
      </c>
      <c r="BK1136" s="93"/>
      <c r="BL1136" s="93">
        <v>94</v>
      </c>
      <c r="BW1136" s="93" t="str">
        <f>I1136</f>
        <v>21</v>
      </c>
      <c r="BX1136" s="2" t="s">
        <v>1278</v>
      </c>
    </row>
    <row r="1137" spans="1:76" s="81" customFormat="1" x14ac:dyDescent="0.25">
      <c r="A1137" s="66" t="s">
        <v>1282</v>
      </c>
      <c r="B1137" s="72" t="s">
        <v>55</v>
      </c>
      <c r="C1137" s="72" t="s">
        <v>1280</v>
      </c>
      <c r="D1137" s="174" t="s">
        <v>1281</v>
      </c>
      <c r="E1137" s="174"/>
      <c r="F1137" s="72" t="s">
        <v>62</v>
      </c>
      <c r="G1137" s="90">
        <v>482.39064999999999</v>
      </c>
      <c r="H1137" s="91"/>
      <c r="I1137" s="92" t="s">
        <v>63</v>
      </c>
      <c r="J1137" s="90">
        <f>G1137*AO1137</f>
        <v>0</v>
      </c>
      <c r="K1137" s="90">
        <f>G1137*AP1137</f>
        <v>0</v>
      </c>
      <c r="L1137" s="90">
        <f>G1137*H1137</f>
        <v>0</v>
      </c>
      <c r="M1137" s="90">
        <f>L1137*(1+BW1137/100)</f>
        <v>0</v>
      </c>
      <c r="N1137" s="90">
        <v>0</v>
      </c>
      <c r="O1137" s="90">
        <f>G1137*N1137</f>
        <v>0</v>
      </c>
      <c r="P1137" s="92" t="s">
        <v>64</v>
      </c>
      <c r="Z1137" s="93">
        <f>IF(AQ1137="5",BJ1137,0)</f>
        <v>0</v>
      </c>
      <c r="AB1137" s="93">
        <f>IF(AQ1137="1",BH1137,0)</f>
        <v>0</v>
      </c>
      <c r="AC1137" s="93">
        <f>IF(AQ1137="1",BI1137,0)</f>
        <v>0</v>
      </c>
      <c r="AD1137" s="93">
        <f>IF(AQ1137="7",BH1137,0)</f>
        <v>0</v>
      </c>
      <c r="AE1137" s="93">
        <f>IF(AQ1137="7",BI1137,0)</f>
        <v>0</v>
      </c>
      <c r="AF1137" s="93">
        <f>IF(AQ1137="2",BH1137,0)</f>
        <v>0</v>
      </c>
      <c r="AG1137" s="93">
        <f>IF(AQ1137="2",BI1137,0)</f>
        <v>0</v>
      </c>
      <c r="AH1137" s="93">
        <f>IF(AQ1137="0",BJ1137,0)</f>
        <v>0</v>
      </c>
      <c r="AI1137" s="88" t="s">
        <v>55</v>
      </c>
      <c r="AJ1137" s="93">
        <f>IF(AN1137=0,L1137,0)</f>
        <v>0</v>
      </c>
      <c r="AK1137" s="93">
        <f>IF(AN1137=12,L1137,0)</f>
        <v>0</v>
      </c>
      <c r="AL1137" s="93">
        <f>IF(AN1137=21,L1137,0)</f>
        <v>0</v>
      </c>
      <c r="AN1137" s="93">
        <v>21</v>
      </c>
      <c r="AO1137" s="93">
        <f>H1137*0</f>
        <v>0</v>
      </c>
      <c r="AP1137" s="93">
        <f>H1137*(1-0)</f>
        <v>0</v>
      </c>
      <c r="AQ1137" s="94" t="s">
        <v>59</v>
      </c>
      <c r="AV1137" s="93">
        <f>AW1137+AX1137</f>
        <v>0</v>
      </c>
      <c r="AW1137" s="93">
        <f>G1137*AO1137</f>
        <v>0</v>
      </c>
      <c r="AX1137" s="93">
        <f>G1137*AP1137</f>
        <v>0</v>
      </c>
      <c r="AY1137" s="94" t="s">
        <v>1272</v>
      </c>
      <c r="AZ1137" s="94" t="s">
        <v>1273</v>
      </c>
      <c r="BA1137" s="88" t="s">
        <v>67</v>
      </c>
      <c r="BC1137" s="93">
        <f>AW1137+AX1137</f>
        <v>0</v>
      </c>
      <c r="BD1137" s="93">
        <f>H1137/(100-BE1137)*100</f>
        <v>0</v>
      </c>
      <c r="BE1137" s="93">
        <v>0</v>
      </c>
      <c r="BF1137" s="93">
        <f>O1137</f>
        <v>0</v>
      </c>
      <c r="BH1137" s="93">
        <f>G1137*AO1137</f>
        <v>0</v>
      </c>
      <c r="BI1137" s="93">
        <f>G1137*AP1137</f>
        <v>0</v>
      </c>
      <c r="BJ1137" s="93">
        <f>G1137*H1137</f>
        <v>0</v>
      </c>
      <c r="BK1137" s="93"/>
      <c r="BL1137" s="93">
        <v>94</v>
      </c>
      <c r="BW1137" s="93" t="str">
        <f>I1137</f>
        <v>21</v>
      </c>
      <c r="BX1137" s="2" t="s">
        <v>1281</v>
      </c>
    </row>
    <row r="1138" spans="1:76" s="81" customFormat="1" x14ac:dyDescent="0.25">
      <c r="A1138" s="66" t="s">
        <v>1289</v>
      </c>
      <c r="B1138" s="72" t="s">
        <v>55</v>
      </c>
      <c r="C1138" s="72" t="s">
        <v>1283</v>
      </c>
      <c r="D1138" s="174" t="s">
        <v>1284</v>
      </c>
      <c r="E1138" s="174"/>
      <c r="F1138" s="72" t="s">
        <v>192</v>
      </c>
      <c r="G1138" s="90">
        <v>906.7</v>
      </c>
      <c r="H1138" s="91"/>
      <c r="I1138" s="92" t="s">
        <v>63</v>
      </c>
      <c r="J1138" s="90">
        <f>G1138*AO1138</f>
        <v>0</v>
      </c>
      <c r="K1138" s="90">
        <f>G1138*AP1138</f>
        <v>0</v>
      </c>
      <c r="L1138" s="90">
        <f>G1138*H1138</f>
        <v>0</v>
      </c>
      <c r="M1138" s="90">
        <f>L1138*(1+BW1138/100)</f>
        <v>0</v>
      </c>
      <c r="N1138" s="90">
        <v>1.2099999999999999E-3</v>
      </c>
      <c r="O1138" s="90">
        <f>G1138*N1138</f>
        <v>1.0971070000000001</v>
      </c>
      <c r="P1138" s="92" t="s">
        <v>64</v>
      </c>
      <c r="Z1138" s="93">
        <f>IF(AQ1138="5",BJ1138,0)</f>
        <v>0</v>
      </c>
      <c r="AB1138" s="93">
        <f>IF(AQ1138="1",BH1138,0)</f>
        <v>0</v>
      </c>
      <c r="AC1138" s="93">
        <f>IF(AQ1138="1",BI1138,0)</f>
        <v>0</v>
      </c>
      <c r="AD1138" s="93">
        <f>IF(AQ1138="7",BH1138,0)</f>
        <v>0</v>
      </c>
      <c r="AE1138" s="93">
        <f>IF(AQ1138="7",BI1138,0)</f>
        <v>0</v>
      </c>
      <c r="AF1138" s="93">
        <f>IF(AQ1138="2",BH1138,0)</f>
        <v>0</v>
      </c>
      <c r="AG1138" s="93">
        <f>IF(AQ1138="2",BI1138,0)</f>
        <v>0</v>
      </c>
      <c r="AH1138" s="93">
        <f>IF(AQ1138="0",BJ1138,0)</f>
        <v>0</v>
      </c>
      <c r="AI1138" s="88" t="s">
        <v>55</v>
      </c>
      <c r="AJ1138" s="93">
        <f>IF(AN1138=0,L1138,0)</f>
        <v>0</v>
      </c>
      <c r="AK1138" s="93">
        <f>IF(AN1138=12,L1138,0)</f>
        <v>0</v>
      </c>
      <c r="AL1138" s="93">
        <f>IF(AN1138=21,L1138,0)</f>
        <v>0</v>
      </c>
      <c r="AN1138" s="93">
        <v>21</v>
      </c>
      <c r="AO1138" s="93">
        <f>H1138*0.368637635</f>
        <v>0</v>
      </c>
      <c r="AP1138" s="93">
        <f>H1138*(1-0.368637635)</f>
        <v>0</v>
      </c>
      <c r="AQ1138" s="94" t="s">
        <v>59</v>
      </c>
      <c r="AV1138" s="93">
        <f>AW1138+AX1138</f>
        <v>0</v>
      </c>
      <c r="AW1138" s="93">
        <f>G1138*AO1138</f>
        <v>0</v>
      </c>
      <c r="AX1138" s="93">
        <f>G1138*AP1138</f>
        <v>0</v>
      </c>
      <c r="AY1138" s="94" t="s">
        <v>1272</v>
      </c>
      <c r="AZ1138" s="94" t="s">
        <v>1273</v>
      </c>
      <c r="BA1138" s="88" t="s">
        <v>67</v>
      </c>
      <c r="BC1138" s="93">
        <f>AW1138+AX1138</f>
        <v>0</v>
      </c>
      <c r="BD1138" s="93">
        <f>H1138/(100-BE1138)*100</f>
        <v>0</v>
      </c>
      <c r="BE1138" s="93">
        <v>0</v>
      </c>
      <c r="BF1138" s="93">
        <f>O1138</f>
        <v>1.0971070000000001</v>
      </c>
      <c r="BH1138" s="93">
        <f>G1138*AO1138</f>
        <v>0</v>
      </c>
      <c r="BI1138" s="93">
        <f>G1138*AP1138</f>
        <v>0</v>
      </c>
      <c r="BJ1138" s="93">
        <f>G1138*H1138</f>
        <v>0</v>
      </c>
      <c r="BK1138" s="93"/>
      <c r="BL1138" s="93">
        <v>94</v>
      </c>
      <c r="BW1138" s="93" t="str">
        <f>I1138</f>
        <v>21</v>
      </c>
      <c r="BX1138" s="2" t="s">
        <v>1284</v>
      </c>
    </row>
    <row r="1139" spans="1:76" s="81" customFormat="1" x14ac:dyDescent="0.25">
      <c r="A1139" s="110"/>
      <c r="B1139" s="95"/>
      <c r="C1139" s="95"/>
      <c r="D1139" s="76" t="s">
        <v>54</v>
      </c>
      <c r="E1139" s="76" t="s">
        <v>1174</v>
      </c>
      <c r="F1139" s="95"/>
      <c r="G1139" s="96">
        <v>0</v>
      </c>
      <c r="H1139" s="97"/>
      <c r="I1139" s="95"/>
      <c r="J1139" s="95"/>
      <c r="K1139" s="95"/>
      <c r="L1139" s="95"/>
      <c r="M1139" s="95"/>
      <c r="N1139" s="95"/>
      <c r="O1139" s="95"/>
      <c r="P1139" s="95"/>
    </row>
    <row r="1140" spans="1:76" s="81" customFormat="1" x14ac:dyDescent="0.25">
      <c r="A1140" s="110"/>
      <c r="B1140" s="95"/>
      <c r="C1140" s="95"/>
      <c r="D1140" s="76" t="s">
        <v>1285</v>
      </c>
      <c r="E1140" s="76" t="s">
        <v>1286</v>
      </c>
      <c r="F1140" s="95"/>
      <c r="G1140" s="96">
        <v>35.101999999999997</v>
      </c>
      <c r="H1140" s="97"/>
      <c r="I1140" s="95"/>
      <c r="J1140" s="95"/>
      <c r="K1140" s="95"/>
      <c r="L1140" s="95"/>
      <c r="M1140" s="95"/>
      <c r="N1140" s="95"/>
      <c r="O1140" s="95"/>
      <c r="P1140" s="95"/>
    </row>
    <row r="1141" spans="1:76" s="81" customFormat="1" x14ac:dyDescent="0.25">
      <c r="A1141" s="110"/>
      <c r="B1141" s="95"/>
      <c r="C1141" s="95"/>
      <c r="D1141" s="76" t="s">
        <v>54</v>
      </c>
      <c r="E1141" s="76" t="s">
        <v>1287</v>
      </c>
      <c r="F1141" s="95"/>
      <c r="G1141" s="96">
        <v>0</v>
      </c>
      <c r="H1141" s="97"/>
      <c r="I1141" s="95"/>
      <c r="J1141" s="95"/>
      <c r="K1141" s="95"/>
      <c r="L1141" s="95"/>
      <c r="M1141" s="95"/>
      <c r="N1141" s="95"/>
      <c r="O1141" s="95"/>
      <c r="P1141" s="95"/>
    </row>
    <row r="1142" spans="1:76" s="81" customFormat="1" x14ac:dyDescent="0.25">
      <c r="A1142" s="110"/>
      <c r="B1142" s="95"/>
      <c r="C1142" s="95"/>
      <c r="D1142" s="76" t="s">
        <v>1288</v>
      </c>
      <c r="E1142" s="76" t="s">
        <v>54</v>
      </c>
      <c r="F1142" s="95"/>
      <c r="G1142" s="96">
        <v>869.6</v>
      </c>
      <c r="H1142" s="97"/>
      <c r="I1142" s="95"/>
      <c r="J1142" s="95"/>
      <c r="K1142" s="95"/>
      <c r="L1142" s="95"/>
      <c r="M1142" s="95"/>
      <c r="N1142" s="95"/>
      <c r="O1142" s="95"/>
      <c r="P1142" s="95"/>
    </row>
    <row r="1143" spans="1:76" s="81" customFormat="1" x14ac:dyDescent="0.25">
      <c r="A1143" s="110"/>
      <c r="B1143" s="95"/>
      <c r="C1143" s="95"/>
      <c r="D1143" s="76" t="s">
        <v>54</v>
      </c>
      <c r="E1143" s="76" t="s">
        <v>980</v>
      </c>
      <c r="F1143" s="95"/>
      <c r="G1143" s="96">
        <v>0</v>
      </c>
      <c r="H1143" s="97"/>
      <c r="I1143" s="95"/>
      <c r="J1143" s="95"/>
      <c r="K1143" s="95"/>
      <c r="L1143" s="95"/>
      <c r="M1143" s="95"/>
      <c r="N1143" s="95"/>
      <c r="O1143" s="95"/>
      <c r="P1143" s="95"/>
    </row>
    <row r="1144" spans="1:76" s="81" customFormat="1" x14ac:dyDescent="0.25">
      <c r="A1144" s="110"/>
      <c r="B1144" s="95"/>
      <c r="C1144" s="95"/>
      <c r="D1144" s="76" t="s">
        <v>986</v>
      </c>
      <c r="E1144" s="76" t="s">
        <v>54</v>
      </c>
      <c r="F1144" s="95"/>
      <c r="G1144" s="96">
        <v>1.998</v>
      </c>
      <c r="H1144" s="97"/>
      <c r="I1144" s="95"/>
      <c r="J1144" s="95"/>
      <c r="K1144" s="95"/>
      <c r="L1144" s="95"/>
      <c r="M1144" s="95"/>
      <c r="N1144" s="95"/>
      <c r="O1144" s="95"/>
      <c r="P1144" s="95"/>
    </row>
    <row r="1145" spans="1:76" s="81" customFormat="1" x14ac:dyDescent="0.25">
      <c r="A1145" s="66" t="s">
        <v>1294</v>
      </c>
      <c r="B1145" s="72" t="s">
        <v>55</v>
      </c>
      <c r="C1145" s="72" t="s">
        <v>1290</v>
      </c>
      <c r="D1145" s="174" t="s">
        <v>1291</v>
      </c>
      <c r="E1145" s="174"/>
      <c r="F1145" s="72" t="s">
        <v>192</v>
      </c>
      <c r="G1145" s="90">
        <v>280.39999999999998</v>
      </c>
      <c r="H1145" s="91"/>
      <c r="I1145" s="92" t="s">
        <v>63</v>
      </c>
      <c r="J1145" s="90">
        <f>G1145*AO1145</f>
        <v>0</v>
      </c>
      <c r="K1145" s="90">
        <f>G1145*AP1145</f>
        <v>0</v>
      </c>
      <c r="L1145" s="90">
        <f>G1145*H1145</f>
        <v>0</v>
      </c>
      <c r="M1145" s="90">
        <f>L1145*(1+BW1145/100)</f>
        <v>0</v>
      </c>
      <c r="N1145" s="90">
        <v>5.9199999999999999E-3</v>
      </c>
      <c r="O1145" s="90">
        <f>G1145*N1145</f>
        <v>1.6599679999999999</v>
      </c>
      <c r="P1145" s="92" t="s">
        <v>64</v>
      </c>
      <c r="Z1145" s="93">
        <f>IF(AQ1145="5",BJ1145,0)</f>
        <v>0</v>
      </c>
      <c r="AB1145" s="93">
        <f>IF(AQ1145="1",BH1145,0)</f>
        <v>0</v>
      </c>
      <c r="AC1145" s="93">
        <f>IF(AQ1145="1",BI1145,0)</f>
        <v>0</v>
      </c>
      <c r="AD1145" s="93">
        <f>IF(AQ1145="7",BH1145,0)</f>
        <v>0</v>
      </c>
      <c r="AE1145" s="93">
        <f>IF(AQ1145="7",BI1145,0)</f>
        <v>0</v>
      </c>
      <c r="AF1145" s="93">
        <f>IF(AQ1145="2",BH1145,0)</f>
        <v>0</v>
      </c>
      <c r="AG1145" s="93">
        <f>IF(AQ1145="2",BI1145,0)</f>
        <v>0</v>
      </c>
      <c r="AH1145" s="93">
        <f>IF(AQ1145="0",BJ1145,0)</f>
        <v>0</v>
      </c>
      <c r="AI1145" s="88" t="s">
        <v>55</v>
      </c>
      <c r="AJ1145" s="93">
        <f>IF(AN1145=0,L1145,0)</f>
        <v>0</v>
      </c>
      <c r="AK1145" s="93">
        <f>IF(AN1145=12,L1145,0)</f>
        <v>0</v>
      </c>
      <c r="AL1145" s="93">
        <f>IF(AN1145=21,L1145,0)</f>
        <v>0</v>
      </c>
      <c r="AN1145" s="93">
        <v>21</v>
      </c>
      <c r="AO1145" s="93">
        <f>H1145*0.384604317</f>
        <v>0</v>
      </c>
      <c r="AP1145" s="93">
        <f>H1145*(1-0.384604317)</f>
        <v>0</v>
      </c>
      <c r="AQ1145" s="94" t="s">
        <v>59</v>
      </c>
      <c r="AV1145" s="93">
        <f>AW1145+AX1145</f>
        <v>0</v>
      </c>
      <c r="AW1145" s="93">
        <f>G1145*AO1145</f>
        <v>0</v>
      </c>
      <c r="AX1145" s="93">
        <f>G1145*AP1145</f>
        <v>0</v>
      </c>
      <c r="AY1145" s="94" t="s">
        <v>1272</v>
      </c>
      <c r="AZ1145" s="94" t="s">
        <v>1273</v>
      </c>
      <c r="BA1145" s="88" t="s">
        <v>67</v>
      </c>
      <c r="BC1145" s="93">
        <f>AW1145+AX1145</f>
        <v>0</v>
      </c>
      <c r="BD1145" s="93">
        <f>H1145/(100-BE1145)*100</f>
        <v>0</v>
      </c>
      <c r="BE1145" s="93">
        <v>0</v>
      </c>
      <c r="BF1145" s="93">
        <f>O1145</f>
        <v>1.6599679999999999</v>
      </c>
      <c r="BH1145" s="93">
        <f>G1145*AO1145</f>
        <v>0</v>
      </c>
      <c r="BI1145" s="93">
        <f>G1145*AP1145</f>
        <v>0</v>
      </c>
      <c r="BJ1145" s="93">
        <f>G1145*H1145</f>
        <v>0</v>
      </c>
      <c r="BK1145" s="93"/>
      <c r="BL1145" s="93">
        <v>94</v>
      </c>
      <c r="BW1145" s="93" t="str">
        <f>I1145</f>
        <v>21</v>
      </c>
      <c r="BX1145" s="2" t="s">
        <v>1291</v>
      </c>
    </row>
    <row r="1146" spans="1:76" s="81" customFormat="1" x14ac:dyDescent="0.25">
      <c r="A1146" s="110"/>
      <c r="B1146" s="95"/>
      <c r="C1146" s="95"/>
      <c r="D1146" s="76" t="s">
        <v>54</v>
      </c>
      <c r="E1146" s="76" t="s">
        <v>1174</v>
      </c>
      <c r="F1146" s="95"/>
      <c r="G1146" s="96">
        <v>0</v>
      </c>
      <c r="H1146" s="97"/>
      <c r="I1146" s="95"/>
      <c r="J1146" s="95"/>
      <c r="K1146" s="95"/>
      <c r="L1146" s="95"/>
      <c r="M1146" s="95"/>
      <c r="N1146" s="95"/>
      <c r="O1146" s="95"/>
      <c r="P1146" s="95"/>
    </row>
    <row r="1147" spans="1:76" s="81" customFormat="1" x14ac:dyDescent="0.25">
      <c r="A1147" s="110"/>
      <c r="B1147" s="95"/>
      <c r="C1147" s="95"/>
      <c r="D1147" s="76" t="s">
        <v>1292</v>
      </c>
      <c r="E1147" s="76" t="s">
        <v>1293</v>
      </c>
      <c r="F1147" s="95"/>
      <c r="G1147" s="96">
        <v>280.39999999999998</v>
      </c>
      <c r="H1147" s="97"/>
      <c r="I1147" s="95"/>
      <c r="J1147" s="95"/>
      <c r="K1147" s="95"/>
      <c r="L1147" s="95"/>
      <c r="M1147" s="95"/>
      <c r="N1147" s="95"/>
      <c r="O1147" s="95"/>
      <c r="P1147" s="95"/>
    </row>
    <row r="1148" spans="1:76" s="81" customFormat="1" x14ac:dyDescent="0.25">
      <c r="A1148" s="66" t="s">
        <v>1298</v>
      </c>
      <c r="B1148" s="72" t="s">
        <v>55</v>
      </c>
      <c r="C1148" s="72" t="s">
        <v>1295</v>
      </c>
      <c r="D1148" s="174" t="s">
        <v>1296</v>
      </c>
      <c r="E1148" s="174"/>
      <c r="F1148" s="72" t="s">
        <v>192</v>
      </c>
      <c r="G1148" s="90">
        <v>42.2</v>
      </c>
      <c r="H1148" s="91"/>
      <c r="I1148" s="92" t="s">
        <v>63</v>
      </c>
      <c r="J1148" s="90">
        <f>G1148*AO1148</f>
        <v>0</v>
      </c>
      <c r="K1148" s="90">
        <f>G1148*AP1148</f>
        <v>0</v>
      </c>
      <c r="L1148" s="90">
        <f>G1148*H1148</f>
        <v>0</v>
      </c>
      <c r="M1148" s="90">
        <f>L1148*(1+BW1148/100)</f>
        <v>0</v>
      </c>
      <c r="N1148" s="90">
        <v>6.3499999999999997E-3</v>
      </c>
      <c r="O1148" s="90">
        <f>G1148*N1148</f>
        <v>0.26796999999999999</v>
      </c>
      <c r="P1148" s="92" t="s">
        <v>64</v>
      </c>
      <c r="Z1148" s="93">
        <f>IF(AQ1148="5",BJ1148,0)</f>
        <v>0</v>
      </c>
      <c r="AB1148" s="93">
        <f>IF(AQ1148="1",BH1148,0)</f>
        <v>0</v>
      </c>
      <c r="AC1148" s="93">
        <f>IF(AQ1148="1",BI1148,0)</f>
        <v>0</v>
      </c>
      <c r="AD1148" s="93">
        <f>IF(AQ1148="7",BH1148,0)</f>
        <v>0</v>
      </c>
      <c r="AE1148" s="93">
        <f>IF(AQ1148="7",BI1148,0)</f>
        <v>0</v>
      </c>
      <c r="AF1148" s="93">
        <f>IF(AQ1148="2",BH1148,0)</f>
        <v>0</v>
      </c>
      <c r="AG1148" s="93">
        <f>IF(AQ1148="2",BI1148,0)</f>
        <v>0</v>
      </c>
      <c r="AH1148" s="93">
        <f>IF(AQ1148="0",BJ1148,0)</f>
        <v>0</v>
      </c>
      <c r="AI1148" s="88" t="s">
        <v>55</v>
      </c>
      <c r="AJ1148" s="93">
        <f>IF(AN1148=0,L1148,0)</f>
        <v>0</v>
      </c>
      <c r="AK1148" s="93">
        <f>IF(AN1148=12,L1148,0)</f>
        <v>0</v>
      </c>
      <c r="AL1148" s="93">
        <f>IF(AN1148=21,L1148,0)</f>
        <v>0</v>
      </c>
      <c r="AN1148" s="93">
        <v>21</v>
      </c>
      <c r="AO1148" s="93">
        <f>H1148*0.401818182</f>
        <v>0</v>
      </c>
      <c r="AP1148" s="93">
        <f>H1148*(1-0.401818182)</f>
        <v>0</v>
      </c>
      <c r="AQ1148" s="94" t="s">
        <v>59</v>
      </c>
      <c r="AV1148" s="93">
        <f>AW1148+AX1148</f>
        <v>0</v>
      </c>
      <c r="AW1148" s="93">
        <f>G1148*AO1148</f>
        <v>0</v>
      </c>
      <c r="AX1148" s="93">
        <f>G1148*AP1148</f>
        <v>0</v>
      </c>
      <c r="AY1148" s="94" t="s">
        <v>1272</v>
      </c>
      <c r="AZ1148" s="94" t="s">
        <v>1273</v>
      </c>
      <c r="BA1148" s="88" t="s">
        <v>67</v>
      </c>
      <c r="BC1148" s="93">
        <f>AW1148+AX1148</f>
        <v>0</v>
      </c>
      <c r="BD1148" s="93">
        <f>H1148/(100-BE1148)*100</f>
        <v>0</v>
      </c>
      <c r="BE1148" s="93">
        <v>0</v>
      </c>
      <c r="BF1148" s="93">
        <f>O1148</f>
        <v>0.26796999999999999</v>
      </c>
      <c r="BH1148" s="93">
        <f>G1148*AO1148</f>
        <v>0</v>
      </c>
      <c r="BI1148" s="93">
        <f>G1148*AP1148</f>
        <v>0</v>
      </c>
      <c r="BJ1148" s="93">
        <f>G1148*H1148</f>
        <v>0</v>
      </c>
      <c r="BK1148" s="93"/>
      <c r="BL1148" s="93">
        <v>94</v>
      </c>
      <c r="BW1148" s="93" t="str">
        <f>I1148</f>
        <v>21</v>
      </c>
      <c r="BX1148" s="2" t="s">
        <v>1296</v>
      </c>
    </row>
    <row r="1149" spans="1:76" s="81" customFormat="1" x14ac:dyDescent="0.25">
      <c r="A1149" s="110"/>
      <c r="B1149" s="95"/>
      <c r="C1149" s="95"/>
      <c r="D1149" s="76" t="s">
        <v>54</v>
      </c>
      <c r="E1149" s="76" t="s">
        <v>1176</v>
      </c>
      <c r="F1149" s="95"/>
      <c r="G1149" s="96">
        <v>0</v>
      </c>
      <c r="H1149" s="97"/>
      <c r="I1149" s="95"/>
      <c r="J1149" s="95"/>
      <c r="K1149" s="95"/>
      <c r="L1149" s="95"/>
      <c r="M1149" s="95"/>
      <c r="N1149" s="95"/>
      <c r="O1149" s="95"/>
      <c r="P1149" s="95"/>
    </row>
    <row r="1150" spans="1:76" s="81" customFormat="1" x14ac:dyDescent="0.25">
      <c r="A1150" s="110"/>
      <c r="B1150" s="95"/>
      <c r="C1150" s="95"/>
      <c r="D1150" s="76" t="s">
        <v>1297</v>
      </c>
      <c r="E1150" s="76" t="s">
        <v>1178</v>
      </c>
      <c r="F1150" s="95"/>
      <c r="G1150" s="96">
        <v>42.2</v>
      </c>
      <c r="H1150" s="97"/>
      <c r="I1150" s="95"/>
      <c r="J1150" s="95"/>
      <c r="K1150" s="95"/>
      <c r="L1150" s="95"/>
      <c r="M1150" s="95"/>
      <c r="N1150" s="95"/>
      <c r="O1150" s="95"/>
      <c r="P1150" s="95"/>
    </row>
    <row r="1151" spans="1:76" s="81" customFormat="1" x14ac:dyDescent="0.25">
      <c r="A1151" s="66" t="s">
        <v>1303</v>
      </c>
      <c r="B1151" s="72" t="s">
        <v>55</v>
      </c>
      <c r="C1151" s="72" t="s">
        <v>1299</v>
      </c>
      <c r="D1151" s="174" t="s">
        <v>1300</v>
      </c>
      <c r="E1151" s="174"/>
      <c r="F1151" s="72" t="s">
        <v>192</v>
      </c>
      <c r="G1151" s="90">
        <v>22.4</v>
      </c>
      <c r="H1151" s="91"/>
      <c r="I1151" s="92" t="s">
        <v>63</v>
      </c>
      <c r="J1151" s="90">
        <f>G1151*AO1151</f>
        <v>0</v>
      </c>
      <c r="K1151" s="90">
        <f>G1151*AP1151</f>
        <v>0</v>
      </c>
      <c r="L1151" s="90">
        <f>G1151*H1151</f>
        <v>0</v>
      </c>
      <c r="M1151" s="90">
        <f>L1151*(1+BW1151/100)</f>
        <v>0</v>
      </c>
      <c r="N1151" s="90">
        <v>5.8599999999999998E-3</v>
      </c>
      <c r="O1151" s="90">
        <f>G1151*N1151</f>
        <v>0.13126399999999999</v>
      </c>
      <c r="P1151" s="92" t="s">
        <v>64</v>
      </c>
      <c r="Z1151" s="93">
        <f>IF(AQ1151="5",BJ1151,0)</f>
        <v>0</v>
      </c>
      <c r="AB1151" s="93">
        <f>IF(AQ1151="1",BH1151,0)</f>
        <v>0</v>
      </c>
      <c r="AC1151" s="93">
        <f>IF(AQ1151="1",BI1151,0)</f>
        <v>0</v>
      </c>
      <c r="AD1151" s="93">
        <f>IF(AQ1151="7",BH1151,0)</f>
        <v>0</v>
      </c>
      <c r="AE1151" s="93">
        <f>IF(AQ1151="7",BI1151,0)</f>
        <v>0</v>
      </c>
      <c r="AF1151" s="93">
        <f>IF(AQ1151="2",BH1151,0)</f>
        <v>0</v>
      </c>
      <c r="AG1151" s="93">
        <f>IF(AQ1151="2",BI1151,0)</f>
        <v>0</v>
      </c>
      <c r="AH1151" s="93">
        <f>IF(AQ1151="0",BJ1151,0)</f>
        <v>0</v>
      </c>
      <c r="AI1151" s="88" t="s">
        <v>55</v>
      </c>
      <c r="AJ1151" s="93">
        <f>IF(AN1151=0,L1151,0)</f>
        <v>0</v>
      </c>
      <c r="AK1151" s="93">
        <f>IF(AN1151=12,L1151,0)</f>
        <v>0</v>
      </c>
      <c r="AL1151" s="93">
        <f>IF(AN1151=21,L1151,0)</f>
        <v>0</v>
      </c>
      <c r="AN1151" s="93">
        <v>21</v>
      </c>
      <c r="AO1151" s="93">
        <f>H1151*0.377076566</f>
        <v>0</v>
      </c>
      <c r="AP1151" s="93">
        <f>H1151*(1-0.377076566)</f>
        <v>0</v>
      </c>
      <c r="AQ1151" s="94" t="s">
        <v>59</v>
      </c>
      <c r="AV1151" s="93">
        <f>AW1151+AX1151</f>
        <v>0</v>
      </c>
      <c r="AW1151" s="93">
        <f>G1151*AO1151</f>
        <v>0</v>
      </c>
      <c r="AX1151" s="93">
        <f>G1151*AP1151</f>
        <v>0</v>
      </c>
      <c r="AY1151" s="94" t="s">
        <v>1272</v>
      </c>
      <c r="AZ1151" s="94" t="s">
        <v>1273</v>
      </c>
      <c r="BA1151" s="88" t="s">
        <v>67</v>
      </c>
      <c r="BC1151" s="93">
        <f>AW1151+AX1151</f>
        <v>0</v>
      </c>
      <c r="BD1151" s="93">
        <f>H1151/(100-BE1151)*100</f>
        <v>0</v>
      </c>
      <c r="BE1151" s="93">
        <v>0</v>
      </c>
      <c r="BF1151" s="93">
        <f>O1151</f>
        <v>0.13126399999999999</v>
      </c>
      <c r="BH1151" s="93">
        <f>G1151*AO1151</f>
        <v>0</v>
      </c>
      <c r="BI1151" s="93">
        <f>G1151*AP1151</f>
        <v>0</v>
      </c>
      <c r="BJ1151" s="93">
        <f>G1151*H1151</f>
        <v>0</v>
      </c>
      <c r="BK1151" s="93"/>
      <c r="BL1151" s="93">
        <v>94</v>
      </c>
      <c r="BW1151" s="93" t="str">
        <f>I1151</f>
        <v>21</v>
      </c>
      <c r="BX1151" s="2" t="s">
        <v>1300</v>
      </c>
    </row>
    <row r="1152" spans="1:76" s="81" customFormat="1" x14ac:dyDescent="0.25">
      <c r="A1152" s="110"/>
      <c r="B1152" s="95"/>
      <c r="C1152" s="95"/>
      <c r="D1152" s="76" t="s">
        <v>54</v>
      </c>
      <c r="E1152" s="76" t="s">
        <v>1301</v>
      </c>
      <c r="F1152" s="95"/>
      <c r="G1152" s="96">
        <v>0</v>
      </c>
      <c r="H1152" s="97"/>
      <c r="I1152" s="95"/>
      <c r="J1152" s="95"/>
      <c r="K1152" s="95"/>
      <c r="L1152" s="95"/>
      <c r="M1152" s="95"/>
      <c r="N1152" s="95"/>
      <c r="O1152" s="95"/>
      <c r="P1152" s="95"/>
    </row>
    <row r="1153" spans="1:76" s="81" customFormat="1" x14ac:dyDescent="0.25">
      <c r="A1153" s="110"/>
      <c r="B1153" s="95"/>
      <c r="C1153" s="95"/>
      <c r="D1153" s="76" t="s">
        <v>1302</v>
      </c>
      <c r="E1153" s="76" t="s">
        <v>54</v>
      </c>
      <c r="F1153" s="95"/>
      <c r="G1153" s="96">
        <v>22.4</v>
      </c>
      <c r="H1153" s="97"/>
      <c r="I1153" s="95"/>
      <c r="J1153" s="95"/>
      <c r="K1153" s="95"/>
      <c r="L1153" s="95"/>
      <c r="M1153" s="95"/>
      <c r="N1153" s="95"/>
      <c r="O1153" s="95"/>
      <c r="P1153" s="95"/>
    </row>
    <row r="1154" spans="1:76" s="81" customFormat="1" x14ac:dyDescent="0.25">
      <c r="A1154" s="66" t="s">
        <v>1309</v>
      </c>
      <c r="B1154" s="72" t="s">
        <v>55</v>
      </c>
      <c r="C1154" s="72" t="s">
        <v>1304</v>
      </c>
      <c r="D1154" s="174" t="s">
        <v>1305</v>
      </c>
      <c r="E1154" s="174"/>
      <c r="F1154" s="72" t="s">
        <v>192</v>
      </c>
      <c r="G1154" s="90">
        <v>1297.17725</v>
      </c>
      <c r="H1154" s="91"/>
      <c r="I1154" s="92" t="s">
        <v>63</v>
      </c>
      <c r="J1154" s="90">
        <f>G1154*AO1154</f>
        <v>0</v>
      </c>
      <c r="K1154" s="90">
        <f>G1154*AP1154</f>
        <v>0</v>
      </c>
      <c r="L1154" s="90">
        <f>G1154*H1154</f>
        <v>0</v>
      </c>
      <c r="M1154" s="90">
        <f>L1154*(1+BW1154/100)</f>
        <v>0</v>
      </c>
      <c r="N1154" s="90">
        <v>1.8380000000000001E-2</v>
      </c>
      <c r="O1154" s="90">
        <f>G1154*N1154</f>
        <v>23.842117855000001</v>
      </c>
      <c r="P1154" s="92" t="s">
        <v>64</v>
      </c>
      <c r="Z1154" s="93">
        <f>IF(AQ1154="5",BJ1154,0)</f>
        <v>0</v>
      </c>
      <c r="AB1154" s="93">
        <f>IF(AQ1154="1",BH1154,0)</f>
        <v>0</v>
      </c>
      <c r="AC1154" s="93">
        <f>IF(AQ1154="1",BI1154,0)</f>
        <v>0</v>
      </c>
      <c r="AD1154" s="93">
        <f>IF(AQ1154="7",BH1154,0)</f>
        <v>0</v>
      </c>
      <c r="AE1154" s="93">
        <f>IF(AQ1154="7",BI1154,0)</f>
        <v>0</v>
      </c>
      <c r="AF1154" s="93">
        <f>IF(AQ1154="2",BH1154,0)</f>
        <v>0</v>
      </c>
      <c r="AG1154" s="93">
        <f>IF(AQ1154="2",BI1154,0)</f>
        <v>0</v>
      </c>
      <c r="AH1154" s="93">
        <f>IF(AQ1154="0",BJ1154,0)</f>
        <v>0</v>
      </c>
      <c r="AI1154" s="88" t="s">
        <v>55</v>
      </c>
      <c r="AJ1154" s="93">
        <f>IF(AN1154=0,L1154,0)</f>
        <v>0</v>
      </c>
      <c r="AK1154" s="93">
        <f>IF(AN1154=12,L1154,0)</f>
        <v>0</v>
      </c>
      <c r="AL1154" s="93">
        <f>IF(AN1154=21,L1154,0)</f>
        <v>0</v>
      </c>
      <c r="AN1154" s="93">
        <v>21</v>
      </c>
      <c r="AO1154" s="93">
        <f>H1154*0.000532623</f>
        <v>0</v>
      </c>
      <c r="AP1154" s="93">
        <f>H1154*(1-0.000532623)</f>
        <v>0</v>
      </c>
      <c r="AQ1154" s="94" t="s">
        <v>59</v>
      </c>
      <c r="AV1154" s="93">
        <f>AW1154+AX1154</f>
        <v>0</v>
      </c>
      <c r="AW1154" s="93">
        <f>G1154*AO1154</f>
        <v>0</v>
      </c>
      <c r="AX1154" s="93">
        <f>G1154*AP1154</f>
        <v>0</v>
      </c>
      <c r="AY1154" s="94" t="s">
        <v>1272</v>
      </c>
      <c r="AZ1154" s="94" t="s">
        <v>1273</v>
      </c>
      <c r="BA1154" s="88" t="s">
        <v>67</v>
      </c>
      <c r="BC1154" s="93">
        <f>AW1154+AX1154</f>
        <v>0</v>
      </c>
      <c r="BD1154" s="93">
        <f>H1154/(100-BE1154)*100</f>
        <v>0</v>
      </c>
      <c r="BE1154" s="93">
        <v>0</v>
      </c>
      <c r="BF1154" s="93">
        <f>O1154</f>
        <v>23.842117855000001</v>
      </c>
      <c r="BH1154" s="93">
        <f>G1154*AO1154</f>
        <v>0</v>
      </c>
      <c r="BI1154" s="93">
        <f>G1154*AP1154</f>
        <v>0</v>
      </c>
      <c r="BJ1154" s="93">
        <f>G1154*H1154</f>
        <v>0</v>
      </c>
      <c r="BK1154" s="93"/>
      <c r="BL1154" s="93">
        <v>94</v>
      </c>
      <c r="BW1154" s="93" t="str">
        <f>I1154</f>
        <v>21</v>
      </c>
      <c r="BX1154" s="2" t="s">
        <v>1305</v>
      </c>
    </row>
    <row r="1155" spans="1:76" s="81" customFormat="1" x14ac:dyDescent="0.25">
      <c r="A1155" s="110"/>
      <c r="B1155" s="95"/>
      <c r="C1155" s="95"/>
      <c r="D1155" s="76" t="s">
        <v>54</v>
      </c>
      <c r="E1155" s="76" t="s">
        <v>1306</v>
      </c>
      <c r="F1155" s="95"/>
      <c r="G1155" s="96">
        <v>0</v>
      </c>
      <c r="H1155" s="97"/>
      <c r="I1155" s="95"/>
      <c r="J1155" s="95"/>
      <c r="K1155" s="95"/>
      <c r="L1155" s="95"/>
      <c r="M1155" s="95"/>
      <c r="N1155" s="95"/>
      <c r="O1155" s="95"/>
      <c r="P1155" s="95"/>
    </row>
    <row r="1156" spans="1:76" s="81" customFormat="1" ht="25.5" x14ac:dyDescent="0.25">
      <c r="A1156" s="110"/>
      <c r="B1156" s="95"/>
      <c r="C1156" s="95"/>
      <c r="D1156" s="76" t="s">
        <v>1307</v>
      </c>
      <c r="E1156" s="76" t="s">
        <v>54</v>
      </c>
      <c r="F1156" s="95"/>
      <c r="G1156" s="96">
        <v>866.53345000000002</v>
      </c>
      <c r="H1156" s="97"/>
      <c r="I1156" s="95"/>
      <c r="J1156" s="95"/>
      <c r="K1156" s="95"/>
      <c r="L1156" s="95"/>
      <c r="M1156" s="95"/>
      <c r="N1156" s="95"/>
      <c r="O1156" s="95"/>
      <c r="P1156" s="95"/>
    </row>
    <row r="1157" spans="1:76" s="81" customFormat="1" ht="25.5" x14ac:dyDescent="0.25">
      <c r="A1157" s="110"/>
      <c r="B1157" s="95"/>
      <c r="C1157" s="95"/>
      <c r="D1157" s="76" t="s">
        <v>1308</v>
      </c>
      <c r="E1157" s="76" t="s">
        <v>54</v>
      </c>
      <c r="F1157" s="95"/>
      <c r="G1157" s="96">
        <v>430.6438</v>
      </c>
      <c r="H1157" s="97"/>
      <c r="I1157" s="95"/>
      <c r="J1157" s="95"/>
      <c r="K1157" s="95"/>
      <c r="L1157" s="95"/>
      <c r="M1157" s="95"/>
      <c r="N1157" s="95"/>
      <c r="O1157" s="95"/>
      <c r="P1157" s="95"/>
    </row>
    <row r="1158" spans="1:76" s="81" customFormat="1" x14ac:dyDescent="0.25">
      <c r="A1158" s="66" t="s">
        <v>1313</v>
      </c>
      <c r="B1158" s="72" t="s">
        <v>55</v>
      </c>
      <c r="C1158" s="72" t="s">
        <v>1310</v>
      </c>
      <c r="D1158" s="174" t="s">
        <v>1311</v>
      </c>
      <c r="E1158" s="174"/>
      <c r="F1158" s="72" t="s">
        <v>192</v>
      </c>
      <c r="G1158" s="90">
        <v>158255.62450000001</v>
      </c>
      <c r="H1158" s="91"/>
      <c r="I1158" s="92" t="s">
        <v>63</v>
      </c>
      <c r="J1158" s="90">
        <f>G1158*AO1158</f>
        <v>0</v>
      </c>
      <c r="K1158" s="90">
        <f>G1158*AP1158</f>
        <v>0</v>
      </c>
      <c r="L1158" s="90">
        <f>G1158*H1158</f>
        <v>0</v>
      </c>
      <c r="M1158" s="90">
        <f>L1158*(1+BW1158/100)</f>
        <v>0</v>
      </c>
      <c r="N1158" s="90">
        <v>0</v>
      </c>
      <c r="O1158" s="90">
        <f>G1158*N1158</f>
        <v>0</v>
      </c>
      <c r="P1158" s="92" t="s">
        <v>64</v>
      </c>
      <c r="Z1158" s="93">
        <f>IF(AQ1158="5",BJ1158,0)</f>
        <v>0</v>
      </c>
      <c r="AB1158" s="93">
        <f>IF(AQ1158="1",BH1158,0)</f>
        <v>0</v>
      </c>
      <c r="AC1158" s="93">
        <f>IF(AQ1158="1",BI1158,0)</f>
        <v>0</v>
      </c>
      <c r="AD1158" s="93">
        <f>IF(AQ1158="7",BH1158,0)</f>
        <v>0</v>
      </c>
      <c r="AE1158" s="93">
        <f>IF(AQ1158="7",BI1158,0)</f>
        <v>0</v>
      </c>
      <c r="AF1158" s="93">
        <f>IF(AQ1158="2",BH1158,0)</f>
        <v>0</v>
      </c>
      <c r="AG1158" s="93">
        <f>IF(AQ1158="2",BI1158,0)</f>
        <v>0</v>
      </c>
      <c r="AH1158" s="93">
        <f>IF(AQ1158="0",BJ1158,0)</f>
        <v>0</v>
      </c>
      <c r="AI1158" s="88" t="s">
        <v>55</v>
      </c>
      <c r="AJ1158" s="93">
        <f>IF(AN1158=0,L1158,0)</f>
        <v>0</v>
      </c>
      <c r="AK1158" s="93">
        <f>IF(AN1158=12,L1158,0)</f>
        <v>0</v>
      </c>
      <c r="AL1158" s="93">
        <f>IF(AN1158=21,L1158,0)</f>
        <v>0</v>
      </c>
      <c r="AN1158" s="93">
        <v>21</v>
      </c>
      <c r="AO1158" s="93">
        <f>H1158*0</f>
        <v>0</v>
      </c>
      <c r="AP1158" s="93">
        <f>H1158*(1-0)</f>
        <v>0</v>
      </c>
      <c r="AQ1158" s="94" t="s">
        <v>59</v>
      </c>
      <c r="AV1158" s="93">
        <f>AW1158+AX1158</f>
        <v>0</v>
      </c>
      <c r="AW1158" s="93">
        <f>G1158*AO1158</f>
        <v>0</v>
      </c>
      <c r="AX1158" s="93">
        <f>G1158*AP1158</f>
        <v>0</v>
      </c>
      <c r="AY1158" s="94" t="s">
        <v>1272</v>
      </c>
      <c r="AZ1158" s="94" t="s">
        <v>1273</v>
      </c>
      <c r="BA1158" s="88" t="s">
        <v>67</v>
      </c>
      <c r="BC1158" s="93">
        <f>AW1158+AX1158</f>
        <v>0</v>
      </c>
      <c r="BD1158" s="93">
        <f>H1158/(100-BE1158)*100</f>
        <v>0</v>
      </c>
      <c r="BE1158" s="93">
        <v>0</v>
      </c>
      <c r="BF1158" s="93">
        <f>O1158</f>
        <v>0</v>
      </c>
      <c r="BH1158" s="93">
        <f>G1158*AO1158</f>
        <v>0</v>
      </c>
      <c r="BI1158" s="93">
        <f>G1158*AP1158</f>
        <v>0</v>
      </c>
      <c r="BJ1158" s="93">
        <f>G1158*H1158</f>
        <v>0</v>
      </c>
      <c r="BK1158" s="93"/>
      <c r="BL1158" s="93">
        <v>94</v>
      </c>
      <c r="BW1158" s="93" t="str">
        <f>I1158</f>
        <v>21</v>
      </c>
      <c r="BX1158" s="2" t="s">
        <v>1311</v>
      </c>
    </row>
    <row r="1159" spans="1:76" s="81" customFormat="1" x14ac:dyDescent="0.25">
      <c r="A1159" s="110"/>
      <c r="B1159" s="95"/>
      <c r="C1159" s="95"/>
      <c r="D1159" s="76" t="s">
        <v>1312</v>
      </c>
      <c r="E1159" s="76" t="s">
        <v>54</v>
      </c>
      <c r="F1159" s="95"/>
      <c r="G1159" s="96">
        <v>158255.62450000001</v>
      </c>
      <c r="H1159" s="97"/>
      <c r="I1159" s="95"/>
      <c r="J1159" s="95"/>
      <c r="K1159" s="95"/>
      <c r="L1159" s="95"/>
      <c r="M1159" s="95"/>
      <c r="N1159" s="95"/>
      <c r="O1159" s="95"/>
      <c r="P1159" s="95"/>
    </row>
    <row r="1160" spans="1:76" s="81" customFormat="1" x14ac:dyDescent="0.25">
      <c r="A1160" s="66" t="s">
        <v>1317</v>
      </c>
      <c r="B1160" s="72" t="s">
        <v>55</v>
      </c>
      <c r="C1160" s="72" t="s">
        <v>1314</v>
      </c>
      <c r="D1160" s="174" t="s">
        <v>1315</v>
      </c>
      <c r="E1160" s="174"/>
      <c r="F1160" s="72" t="s">
        <v>192</v>
      </c>
      <c r="G1160" s="90">
        <v>1297.17725</v>
      </c>
      <c r="H1160" s="91"/>
      <c r="I1160" s="92" t="s">
        <v>63</v>
      </c>
      <c r="J1160" s="90">
        <f>G1160*AO1160</f>
        <v>0</v>
      </c>
      <c r="K1160" s="90">
        <f>G1160*AP1160</f>
        <v>0</v>
      </c>
      <c r="L1160" s="90">
        <f>G1160*H1160</f>
        <v>0</v>
      </c>
      <c r="M1160" s="90">
        <f>L1160*(1+BW1160/100)</f>
        <v>0</v>
      </c>
      <c r="N1160" s="90">
        <v>0</v>
      </c>
      <c r="O1160" s="90">
        <f>G1160*N1160</f>
        <v>0</v>
      </c>
      <c r="P1160" s="92" t="s">
        <v>64</v>
      </c>
      <c r="Z1160" s="93">
        <f>IF(AQ1160="5",BJ1160,0)</f>
        <v>0</v>
      </c>
      <c r="AB1160" s="93">
        <f>IF(AQ1160="1",BH1160,0)</f>
        <v>0</v>
      </c>
      <c r="AC1160" s="93">
        <f>IF(AQ1160="1",BI1160,0)</f>
        <v>0</v>
      </c>
      <c r="AD1160" s="93">
        <f>IF(AQ1160="7",BH1160,0)</f>
        <v>0</v>
      </c>
      <c r="AE1160" s="93">
        <f>IF(AQ1160="7",BI1160,0)</f>
        <v>0</v>
      </c>
      <c r="AF1160" s="93">
        <f>IF(AQ1160="2",BH1160,0)</f>
        <v>0</v>
      </c>
      <c r="AG1160" s="93">
        <f>IF(AQ1160="2",BI1160,0)</f>
        <v>0</v>
      </c>
      <c r="AH1160" s="93">
        <f>IF(AQ1160="0",BJ1160,0)</f>
        <v>0</v>
      </c>
      <c r="AI1160" s="88" t="s">
        <v>55</v>
      </c>
      <c r="AJ1160" s="93">
        <f>IF(AN1160=0,L1160,0)</f>
        <v>0</v>
      </c>
      <c r="AK1160" s="93">
        <f>IF(AN1160=12,L1160,0)</f>
        <v>0</v>
      </c>
      <c r="AL1160" s="93">
        <f>IF(AN1160=21,L1160,0)</f>
        <v>0</v>
      </c>
      <c r="AN1160" s="93">
        <v>21</v>
      </c>
      <c r="AO1160" s="93">
        <f>H1160*0</f>
        <v>0</v>
      </c>
      <c r="AP1160" s="93">
        <f>H1160*(1-0)</f>
        <v>0</v>
      </c>
      <c r="AQ1160" s="94" t="s">
        <v>59</v>
      </c>
      <c r="AV1160" s="93">
        <f>AW1160+AX1160</f>
        <v>0</v>
      </c>
      <c r="AW1160" s="93">
        <f>G1160*AO1160</f>
        <v>0</v>
      </c>
      <c r="AX1160" s="93">
        <f>G1160*AP1160</f>
        <v>0</v>
      </c>
      <c r="AY1160" s="94" t="s">
        <v>1272</v>
      </c>
      <c r="AZ1160" s="94" t="s">
        <v>1273</v>
      </c>
      <c r="BA1160" s="88" t="s">
        <v>67</v>
      </c>
      <c r="BC1160" s="93">
        <f>AW1160+AX1160</f>
        <v>0</v>
      </c>
      <c r="BD1160" s="93">
        <f>H1160/(100-BE1160)*100</f>
        <v>0</v>
      </c>
      <c r="BE1160" s="93">
        <v>0</v>
      </c>
      <c r="BF1160" s="93">
        <f>O1160</f>
        <v>0</v>
      </c>
      <c r="BH1160" s="93">
        <f>G1160*AO1160</f>
        <v>0</v>
      </c>
      <c r="BI1160" s="93">
        <f>G1160*AP1160</f>
        <v>0</v>
      </c>
      <c r="BJ1160" s="93">
        <f>G1160*H1160</f>
        <v>0</v>
      </c>
      <c r="BK1160" s="93"/>
      <c r="BL1160" s="93">
        <v>94</v>
      </c>
      <c r="BW1160" s="93" t="str">
        <f>I1160</f>
        <v>21</v>
      </c>
      <c r="BX1160" s="2" t="s">
        <v>1315</v>
      </c>
    </row>
    <row r="1161" spans="1:76" s="81" customFormat="1" x14ac:dyDescent="0.25">
      <c r="A1161" s="109" t="s">
        <v>54</v>
      </c>
      <c r="B1161" s="74" t="s">
        <v>55</v>
      </c>
      <c r="C1161" s="74" t="s">
        <v>811</v>
      </c>
      <c r="D1161" s="180" t="s">
        <v>1316</v>
      </c>
      <c r="E1161" s="180"/>
      <c r="F1161" s="85" t="s">
        <v>4</v>
      </c>
      <c r="G1161" s="85" t="s">
        <v>4</v>
      </c>
      <c r="H1161" s="98"/>
      <c r="I1161" s="85" t="s">
        <v>4</v>
      </c>
      <c r="J1161" s="86">
        <f>SUM(J1162:J1168)</f>
        <v>0</v>
      </c>
      <c r="K1161" s="86">
        <f>SUM(K1162:K1168)</f>
        <v>0</v>
      </c>
      <c r="L1161" s="86">
        <f>SUM(L1162:L1168)</f>
        <v>0</v>
      </c>
      <c r="M1161" s="86">
        <f>SUM(M1162:M1168)</f>
        <v>0</v>
      </c>
      <c r="N1161" s="87" t="s">
        <v>54</v>
      </c>
      <c r="O1161" s="86">
        <f>SUM(O1162:O1168)</f>
        <v>6.4804779999999992E-2</v>
      </c>
      <c r="P1161" s="87" t="s">
        <v>54</v>
      </c>
      <c r="AI1161" s="88" t="s">
        <v>55</v>
      </c>
      <c r="AS1161" s="89">
        <f>SUM(AJ1162:AJ1168)</f>
        <v>0</v>
      </c>
      <c r="AT1161" s="89">
        <f>SUM(AK1162:AK1168)</f>
        <v>0</v>
      </c>
      <c r="AU1161" s="89">
        <f>SUM(AL1162:AL1168)</f>
        <v>0</v>
      </c>
    </row>
    <row r="1162" spans="1:76" s="81" customFormat="1" x14ac:dyDescent="0.25">
      <c r="A1162" s="66" t="s">
        <v>1324</v>
      </c>
      <c r="B1162" s="72" t="s">
        <v>55</v>
      </c>
      <c r="C1162" s="72" t="s">
        <v>1318</v>
      </c>
      <c r="D1162" s="174" t="s">
        <v>1319</v>
      </c>
      <c r="E1162" s="174"/>
      <c r="F1162" s="72" t="s">
        <v>192</v>
      </c>
      <c r="G1162" s="90">
        <v>1162.9939999999999</v>
      </c>
      <c r="H1162" s="91"/>
      <c r="I1162" s="92" t="s">
        <v>63</v>
      </c>
      <c r="J1162" s="90">
        <f>G1162*AO1162</f>
        <v>0</v>
      </c>
      <c r="K1162" s="90">
        <f>G1162*AP1162</f>
        <v>0</v>
      </c>
      <c r="L1162" s="90">
        <f>G1162*H1162</f>
        <v>0</v>
      </c>
      <c r="M1162" s="90">
        <f>L1162*(1+BW1162/100)</f>
        <v>0</v>
      </c>
      <c r="N1162" s="90">
        <v>4.0000000000000003E-5</v>
      </c>
      <c r="O1162" s="90">
        <f>G1162*N1162</f>
        <v>4.651976E-2</v>
      </c>
      <c r="P1162" s="92" t="s">
        <v>64</v>
      </c>
      <c r="Z1162" s="93">
        <f>IF(AQ1162="5",BJ1162,0)</f>
        <v>0</v>
      </c>
      <c r="AB1162" s="93">
        <f>IF(AQ1162="1",BH1162,0)</f>
        <v>0</v>
      </c>
      <c r="AC1162" s="93">
        <f>IF(AQ1162="1",BI1162,0)</f>
        <v>0</v>
      </c>
      <c r="AD1162" s="93">
        <f>IF(AQ1162="7",BH1162,0)</f>
        <v>0</v>
      </c>
      <c r="AE1162" s="93">
        <f>IF(AQ1162="7",BI1162,0)</f>
        <v>0</v>
      </c>
      <c r="AF1162" s="93">
        <f>IF(AQ1162="2",BH1162,0)</f>
        <v>0</v>
      </c>
      <c r="AG1162" s="93">
        <f>IF(AQ1162="2",BI1162,0)</f>
        <v>0</v>
      </c>
      <c r="AH1162" s="93">
        <f>IF(AQ1162="0",BJ1162,0)</f>
        <v>0</v>
      </c>
      <c r="AI1162" s="88" t="s">
        <v>55</v>
      </c>
      <c r="AJ1162" s="93">
        <f>IF(AN1162=0,L1162,0)</f>
        <v>0</v>
      </c>
      <c r="AK1162" s="93">
        <f>IF(AN1162=12,L1162,0)</f>
        <v>0</v>
      </c>
      <c r="AL1162" s="93">
        <f>IF(AN1162=21,L1162,0)</f>
        <v>0</v>
      </c>
      <c r="AN1162" s="93">
        <v>21</v>
      </c>
      <c r="AO1162" s="93">
        <f>H1162*0.013885891</f>
        <v>0</v>
      </c>
      <c r="AP1162" s="93">
        <f>H1162*(1-0.013885891)</f>
        <v>0</v>
      </c>
      <c r="AQ1162" s="94" t="s">
        <v>59</v>
      </c>
      <c r="AV1162" s="93">
        <f>AW1162+AX1162</f>
        <v>0</v>
      </c>
      <c r="AW1162" s="93">
        <f>G1162*AO1162</f>
        <v>0</v>
      </c>
      <c r="AX1162" s="93">
        <f>G1162*AP1162</f>
        <v>0</v>
      </c>
      <c r="AY1162" s="94" t="s">
        <v>1320</v>
      </c>
      <c r="AZ1162" s="94" t="s">
        <v>1273</v>
      </c>
      <c r="BA1162" s="88" t="s">
        <v>67</v>
      </c>
      <c r="BC1162" s="93">
        <f>AW1162+AX1162</f>
        <v>0</v>
      </c>
      <c r="BD1162" s="93">
        <f>H1162/(100-BE1162)*100</f>
        <v>0</v>
      </c>
      <c r="BE1162" s="93">
        <v>0</v>
      </c>
      <c r="BF1162" s="93">
        <f>O1162</f>
        <v>4.651976E-2</v>
      </c>
      <c r="BH1162" s="93">
        <f>G1162*AO1162</f>
        <v>0</v>
      </c>
      <c r="BI1162" s="93">
        <f>G1162*AP1162</f>
        <v>0</v>
      </c>
      <c r="BJ1162" s="93">
        <f>G1162*H1162</f>
        <v>0</v>
      </c>
      <c r="BK1162" s="93"/>
      <c r="BL1162" s="93">
        <v>95</v>
      </c>
      <c r="BW1162" s="93" t="str">
        <f>I1162</f>
        <v>21</v>
      </c>
      <c r="BX1162" s="2" t="s">
        <v>1319</v>
      </c>
    </row>
    <row r="1163" spans="1:76" s="81" customFormat="1" x14ac:dyDescent="0.25">
      <c r="A1163" s="110"/>
      <c r="B1163" s="95"/>
      <c r="C1163" s="95"/>
      <c r="D1163" s="76" t="s">
        <v>54</v>
      </c>
      <c r="E1163" s="76" t="s">
        <v>1321</v>
      </c>
      <c r="F1163" s="95"/>
      <c r="G1163" s="96">
        <v>0</v>
      </c>
      <c r="H1163" s="97"/>
      <c r="I1163" s="95"/>
      <c r="J1163" s="95"/>
      <c r="K1163" s="95"/>
      <c r="L1163" s="95"/>
      <c r="M1163" s="95"/>
      <c r="N1163" s="95"/>
      <c r="O1163" s="95"/>
      <c r="P1163" s="95"/>
    </row>
    <row r="1164" spans="1:76" s="81" customFormat="1" x14ac:dyDescent="0.25">
      <c r="A1164" s="110"/>
      <c r="B1164" s="95"/>
      <c r="C1164" s="95"/>
      <c r="D1164" s="76" t="s">
        <v>1322</v>
      </c>
      <c r="E1164" s="76" t="s">
        <v>1323</v>
      </c>
      <c r="F1164" s="95"/>
      <c r="G1164" s="96">
        <v>1162.9939999999999</v>
      </c>
      <c r="H1164" s="97"/>
      <c r="I1164" s="95"/>
      <c r="J1164" s="95"/>
      <c r="K1164" s="95"/>
      <c r="L1164" s="95"/>
      <c r="M1164" s="95"/>
      <c r="N1164" s="95"/>
      <c r="O1164" s="95"/>
      <c r="P1164" s="95"/>
    </row>
    <row r="1165" spans="1:76" s="81" customFormat="1" x14ac:dyDescent="0.25">
      <c r="A1165" s="66" t="s">
        <v>1329</v>
      </c>
      <c r="B1165" s="72" t="s">
        <v>55</v>
      </c>
      <c r="C1165" s="72" t="s">
        <v>1325</v>
      </c>
      <c r="D1165" s="174" t="s">
        <v>1326</v>
      </c>
      <c r="E1165" s="174"/>
      <c r="F1165" s="72" t="s">
        <v>192</v>
      </c>
      <c r="G1165" s="90">
        <v>456.12549999999999</v>
      </c>
      <c r="H1165" s="91"/>
      <c r="I1165" s="92" t="s">
        <v>63</v>
      </c>
      <c r="J1165" s="90">
        <f>G1165*AO1165</f>
        <v>0</v>
      </c>
      <c r="K1165" s="90">
        <f>G1165*AP1165</f>
        <v>0</v>
      </c>
      <c r="L1165" s="90">
        <f>G1165*H1165</f>
        <v>0</v>
      </c>
      <c r="M1165" s="90">
        <f>L1165*(1+BW1165/100)</f>
        <v>0</v>
      </c>
      <c r="N1165" s="90">
        <v>4.0000000000000003E-5</v>
      </c>
      <c r="O1165" s="90">
        <f>G1165*N1165</f>
        <v>1.8245020000000001E-2</v>
      </c>
      <c r="P1165" s="92" t="s">
        <v>64</v>
      </c>
      <c r="Z1165" s="93">
        <f>IF(AQ1165="5",BJ1165,0)</f>
        <v>0</v>
      </c>
      <c r="AB1165" s="93">
        <f>IF(AQ1165="1",BH1165,0)</f>
        <v>0</v>
      </c>
      <c r="AC1165" s="93">
        <f>IF(AQ1165="1",BI1165,0)</f>
        <v>0</v>
      </c>
      <c r="AD1165" s="93">
        <f>IF(AQ1165="7",BH1165,0)</f>
        <v>0</v>
      </c>
      <c r="AE1165" s="93">
        <f>IF(AQ1165="7",BI1165,0)</f>
        <v>0</v>
      </c>
      <c r="AF1165" s="93">
        <f>IF(AQ1165="2",BH1165,0)</f>
        <v>0</v>
      </c>
      <c r="AG1165" s="93">
        <f>IF(AQ1165="2",BI1165,0)</f>
        <v>0</v>
      </c>
      <c r="AH1165" s="93">
        <f>IF(AQ1165="0",BJ1165,0)</f>
        <v>0</v>
      </c>
      <c r="AI1165" s="88" t="s">
        <v>55</v>
      </c>
      <c r="AJ1165" s="93">
        <f>IF(AN1165=0,L1165,0)</f>
        <v>0</v>
      </c>
      <c r="AK1165" s="93">
        <f>IF(AN1165=12,L1165,0)</f>
        <v>0</v>
      </c>
      <c r="AL1165" s="93">
        <f>IF(AN1165=21,L1165,0)</f>
        <v>0</v>
      </c>
      <c r="AN1165" s="93">
        <v>21</v>
      </c>
      <c r="AO1165" s="93">
        <f>H1165*0.012100313</f>
        <v>0</v>
      </c>
      <c r="AP1165" s="93">
        <f>H1165*(1-0.012100313)</f>
        <v>0</v>
      </c>
      <c r="AQ1165" s="94" t="s">
        <v>59</v>
      </c>
      <c r="AV1165" s="93">
        <f>AW1165+AX1165</f>
        <v>0</v>
      </c>
      <c r="AW1165" s="93">
        <f>G1165*AO1165</f>
        <v>0</v>
      </c>
      <c r="AX1165" s="93">
        <f>G1165*AP1165</f>
        <v>0</v>
      </c>
      <c r="AY1165" s="94" t="s">
        <v>1320</v>
      </c>
      <c r="AZ1165" s="94" t="s">
        <v>1273</v>
      </c>
      <c r="BA1165" s="88" t="s">
        <v>67</v>
      </c>
      <c r="BC1165" s="93">
        <f>AW1165+AX1165</f>
        <v>0</v>
      </c>
      <c r="BD1165" s="93">
        <f>H1165/(100-BE1165)*100</f>
        <v>0</v>
      </c>
      <c r="BE1165" s="93">
        <v>0</v>
      </c>
      <c r="BF1165" s="93">
        <f>O1165</f>
        <v>1.8245020000000001E-2</v>
      </c>
      <c r="BH1165" s="93">
        <f>G1165*AO1165</f>
        <v>0</v>
      </c>
      <c r="BI1165" s="93">
        <f>G1165*AP1165</f>
        <v>0</v>
      </c>
      <c r="BJ1165" s="93">
        <f>G1165*H1165</f>
        <v>0</v>
      </c>
      <c r="BK1165" s="93"/>
      <c r="BL1165" s="93">
        <v>95</v>
      </c>
      <c r="BW1165" s="93" t="str">
        <f>I1165</f>
        <v>21</v>
      </c>
      <c r="BX1165" s="2" t="s">
        <v>1326</v>
      </c>
    </row>
    <row r="1166" spans="1:76" s="81" customFormat="1" x14ac:dyDescent="0.25">
      <c r="A1166" s="110"/>
      <c r="B1166" s="95"/>
      <c r="C1166" s="95"/>
      <c r="D1166" s="76" t="s">
        <v>54</v>
      </c>
      <c r="E1166" s="76" t="s">
        <v>1321</v>
      </c>
      <c r="F1166" s="95"/>
      <c r="G1166" s="96">
        <v>0</v>
      </c>
      <c r="H1166" s="97"/>
      <c r="I1166" s="95"/>
      <c r="J1166" s="95"/>
      <c r="K1166" s="95"/>
      <c r="L1166" s="95"/>
      <c r="M1166" s="95"/>
      <c r="N1166" s="95"/>
      <c r="O1166" s="95"/>
      <c r="P1166" s="95"/>
    </row>
    <row r="1167" spans="1:76" s="81" customFormat="1" x14ac:dyDescent="0.25">
      <c r="A1167" s="110"/>
      <c r="B1167" s="95"/>
      <c r="C1167" s="95"/>
      <c r="D1167" s="76" t="s">
        <v>1327</v>
      </c>
      <c r="E1167" s="76" t="s">
        <v>1328</v>
      </c>
      <c r="F1167" s="95"/>
      <c r="G1167" s="96">
        <v>456.12549999999999</v>
      </c>
      <c r="H1167" s="97"/>
      <c r="I1167" s="95"/>
      <c r="J1167" s="95"/>
      <c r="K1167" s="95"/>
      <c r="L1167" s="95"/>
      <c r="M1167" s="95"/>
      <c r="N1167" s="95"/>
      <c r="O1167" s="95"/>
      <c r="P1167" s="95"/>
    </row>
    <row r="1168" spans="1:76" s="81" customFormat="1" x14ac:dyDescent="0.25">
      <c r="A1168" s="66" t="s">
        <v>1335</v>
      </c>
      <c r="B1168" s="72" t="s">
        <v>55</v>
      </c>
      <c r="C1168" s="72" t="s">
        <v>1330</v>
      </c>
      <c r="D1168" s="174" t="s">
        <v>1331</v>
      </c>
      <c r="E1168" s="174"/>
      <c r="F1168" s="72" t="s">
        <v>1332</v>
      </c>
      <c r="G1168" s="90">
        <v>1</v>
      </c>
      <c r="H1168" s="91"/>
      <c r="I1168" s="92" t="s">
        <v>63</v>
      </c>
      <c r="J1168" s="90">
        <f>G1168*AO1168</f>
        <v>0</v>
      </c>
      <c r="K1168" s="90">
        <f>G1168*AP1168</f>
        <v>0</v>
      </c>
      <c r="L1168" s="90">
        <f>G1168*H1168</f>
        <v>0</v>
      </c>
      <c r="M1168" s="90">
        <f>L1168*(1+BW1168/100)</f>
        <v>0</v>
      </c>
      <c r="N1168" s="90">
        <v>4.0000000000000003E-5</v>
      </c>
      <c r="O1168" s="90">
        <f>G1168*N1168</f>
        <v>4.0000000000000003E-5</v>
      </c>
      <c r="P1168" s="92" t="s">
        <v>578</v>
      </c>
      <c r="Z1168" s="93">
        <f>IF(AQ1168="5",BJ1168,0)</f>
        <v>0</v>
      </c>
      <c r="AB1168" s="93">
        <f>IF(AQ1168="1",BH1168,0)</f>
        <v>0</v>
      </c>
      <c r="AC1168" s="93">
        <f>IF(AQ1168="1",BI1168,0)</f>
        <v>0</v>
      </c>
      <c r="AD1168" s="93">
        <f>IF(AQ1168="7",BH1168,0)</f>
        <v>0</v>
      </c>
      <c r="AE1168" s="93">
        <f>IF(AQ1168="7",BI1168,0)</f>
        <v>0</v>
      </c>
      <c r="AF1168" s="93">
        <f>IF(AQ1168="2",BH1168,0)</f>
        <v>0</v>
      </c>
      <c r="AG1168" s="93">
        <f>IF(AQ1168="2",BI1168,0)</f>
        <v>0</v>
      </c>
      <c r="AH1168" s="93">
        <f>IF(AQ1168="0",BJ1168,0)</f>
        <v>0</v>
      </c>
      <c r="AI1168" s="88" t="s">
        <v>55</v>
      </c>
      <c r="AJ1168" s="93">
        <f>IF(AN1168=0,L1168,0)</f>
        <v>0</v>
      </c>
      <c r="AK1168" s="93">
        <f>IF(AN1168=12,L1168,0)</f>
        <v>0</v>
      </c>
      <c r="AL1168" s="93">
        <f>IF(AN1168=21,L1168,0)</f>
        <v>0</v>
      </c>
      <c r="AN1168" s="93">
        <v>21</v>
      </c>
      <c r="AO1168" s="93">
        <f>H1168*0.75</f>
        <v>0</v>
      </c>
      <c r="AP1168" s="93">
        <f>H1168*(1-0.75)</f>
        <v>0</v>
      </c>
      <c r="AQ1168" s="94" t="s">
        <v>59</v>
      </c>
      <c r="AV1168" s="93">
        <f>AW1168+AX1168</f>
        <v>0</v>
      </c>
      <c r="AW1168" s="93">
        <f>G1168*AO1168</f>
        <v>0</v>
      </c>
      <c r="AX1168" s="93">
        <f>G1168*AP1168</f>
        <v>0</v>
      </c>
      <c r="AY1168" s="94" t="s">
        <v>1320</v>
      </c>
      <c r="AZ1168" s="94" t="s">
        <v>1273</v>
      </c>
      <c r="BA1168" s="88" t="s">
        <v>67</v>
      </c>
      <c r="BC1168" s="93">
        <f>AW1168+AX1168</f>
        <v>0</v>
      </c>
      <c r="BD1168" s="93">
        <f>H1168/(100-BE1168)*100</f>
        <v>0</v>
      </c>
      <c r="BE1168" s="93">
        <v>0</v>
      </c>
      <c r="BF1168" s="93">
        <f>O1168</f>
        <v>4.0000000000000003E-5</v>
      </c>
      <c r="BH1168" s="93">
        <f>G1168*AO1168</f>
        <v>0</v>
      </c>
      <c r="BI1168" s="93">
        <f>G1168*AP1168</f>
        <v>0</v>
      </c>
      <c r="BJ1168" s="93">
        <f>G1168*H1168</f>
        <v>0</v>
      </c>
      <c r="BK1168" s="93"/>
      <c r="BL1168" s="93">
        <v>95</v>
      </c>
      <c r="BW1168" s="93" t="str">
        <f>I1168</f>
        <v>21</v>
      </c>
      <c r="BX1168" s="2" t="s">
        <v>1331</v>
      </c>
    </row>
    <row r="1169" spans="1:76" s="81" customFormat="1" ht="13.5" customHeight="1" x14ac:dyDescent="0.25">
      <c r="A1169" s="110"/>
      <c r="B1169" s="95"/>
      <c r="C1169" s="95"/>
      <c r="D1169" s="179" t="s">
        <v>1333</v>
      </c>
      <c r="E1169" s="179"/>
      <c r="F1169" s="179"/>
      <c r="G1169" s="179"/>
      <c r="H1169" s="179"/>
      <c r="I1169" s="179"/>
      <c r="J1169" s="179"/>
      <c r="K1169" s="179"/>
      <c r="L1169" s="179"/>
      <c r="M1169" s="179"/>
      <c r="N1169" s="179"/>
      <c r="O1169" s="179"/>
      <c r="P1169" s="179"/>
    </row>
    <row r="1170" spans="1:76" s="81" customFormat="1" x14ac:dyDescent="0.25">
      <c r="A1170" s="109" t="s">
        <v>54</v>
      </c>
      <c r="B1170" s="74" t="s">
        <v>55</v>
      </c>
      <c r="C1170" s="74" t="s">
        <v>845</v>
      </c>
      <c r="D1170" s="180" t="s">
        <v>1334</v>
      </c>
      <c r="E1170" s="180"/>
      <c r="F1170" s="85" t="s">
        <v>4</v>
      </c>
      <c r="G1170" s="85" t="s">
        <v>4</v>
      </c>
      <c r="H1170" s="85" t="s">
        <v>4</v>
      </c>
      <c r="I1170" s="85" t="s">
        <v>4</v>
      </c>
      <c r="J1170" s="86">
        <f>SUM(J1171:J1174)</f>
        <v>0</v>
      </c>
      <c r="K1170" s="86">
        <f>SUM(K1171:K1174)</f>
        <v>0</v>
      </c>
      <c r="L1170" s="86">
        <f>SUM(L1171:L1174)</f>
        <v>0</v>
      </c>
      <c r="M1170" s="86">
        <f>SUM(M1171:M1174)</f>
        <v>0</v>
      </c>
      <c r="N1170" s="87" t="s">
        <v>54</v>
      </c>
      <c r="O1170" s="86">
        <f>SUM(O1171:O1174)</f>
        <v>0</v>
      </c>
      <c r="P1170" s="87" t="s">
        <v>54</v>
      </c>
      <c r="AI1170" s="88" t="s">
        <v>55</v>
      </c>
      <c r="AS1170" s="89">
        <f>SUM(AJ1171:AJ1174)</f>
        <v>0</v>
      </c>
      <c r="AT1170" s="89">
        <f>SUM(AK1171:AK1174)</f>
        <v>0</v>
      </c>
      <c r="AU1170" s="89">
        <f>SUM(AL1171:AL1174)</f>
        <v>0</v>
      </c>
    </row>
    <row r="1171" spans="1:76" s="81" customFormat="1" x14ac:dyDescent="0.25">
      <c r="A1171" s="66" t="s">
        <v>1339</v>
      </c>
      <c r="B1171" s="72" t="s">
        <v>55</v>
      </c>
      <c r="C1171" s="72" t="s">
        <v>1336</v>
      </c>
      <c r="D1171" s="174" t="s">
        <v>1337</v>
      </c>
      <c r="E1171" s="174"/>
      <c r="F1171" s="72" t="s">
        <v>222</v>
      </c>
      <c r="G1171" s="90">
        <v>0.33130999999999999</v>
      </c>
      <c r="H1171" s="91"/>
      <c r="I1171" s="92" t="s">
        <v>63</v>
      </c>
      <c r="J1171" s="90">
        <f>G1171*AO1171</f>
        <v>0</v>
      </c>
      <c r="K1171" s="90">
        <f>G1171*AP1171</f>
        <v>0</v>
      </c>
      <c r="L1171" s="90">
        <f>G1171*H1171</f>
        <v>0</v>
      </c>
      <c r="M1171" s="90">
        <f>L1171*(1+BW1171/100)</f>
        <v>0</v>
      </c>
      <c r="N1171" s="90">
        <v>0</v>
      </c>
      <c r="O1171" s="90">
        <f>G1171*N1171</f>
        <v>0</v>
      </c>
      <c r="P1171" s="92" t="s">
        <v>64</v>
      </c>
      <c r="Z1171" s="93">
        <f>IF(AQ1171="5",BJ1171,0)</f>
        <v>0</v>
      </c>
      <c r="AB1171" s="93">
        <f>IF(AQ1171="1",BH1171,0)</f>
        <v>0</v>
      </c>
      <c r="AC1171" s="93">
        <f>IF(AQ1171="1",BI1171,0)</f>
        <v>0</v>
      </c>
      <c r="AD1171" s="93">
        <f>IF(AQ1171="7",BH1171,0)</f>
        <v>0</v>
      </c>
      <c r="AE1171" s="93">
        <f>IF(AQ1171="7",BI1171,0)</f>
        <v>0</v>
      </c>
      <c r="AF1171" s="93">
        <f>IF(AQ1171="2",BH1171,0)</f>
        <v>0</v>
      </c>
      <c r="AG1171" s="93">
        <f>IF(AQ1171="2",BI1171,0)</f>
        <v>0</v>
      </c>
      <c r="AH1171" s="93">
        <f>IF(AQ1171="0",BJ1171,0)</f>
        <v>0</v>
      </c>
      <c r="AI1171" s="88" t="s">
        <v>55</v>
      </c>
      <c r="AJ1171" s="93">
        <f>IF(AN1171=0,L1171,0)</f>
        <v>0</v>
      </c>
      <c r="AK1171" s="93">
        <f>IF(AN1171=12,L1171,0)</f>
        <v>0</v>
      </c>
      <c r="AL1171" s="93">
        <f>IF(AN1171=21,L1171,0)</f>
        <v>0</v>
      </c>
      <c r="AN1171" s="93">
        <v>21</v>
      </c>
      <c r="AO1171" s="93">
        <f>H1171*0</f>
        <v>0</v>
      </c>
      <c r="AP1171" s="93">
        <f>H1171*(1-0)</f>
        <v>0</v>
      </c>
      <c r="AQ1171" s="94" t="s">
        <v>136</v>
      </c>
      <c r="AV1171" s="93">
        <f>AW1171+AX1171</f>
        <v>0</v>
      </c>
      <c r="AW1171" s="93">
        <f>G1171*AO1171</f>
        <v>0</v>
      </c>
      <c r="AX1171" s="93">
        <f>G1171*AP1171</f>
        <v>0</v>
      </c>
      <c r="AY1171" s="94" t="s">
        <v>1338</v>
      </c>
      <c r="AZ1171" s="94" t="s">
        <v>1273</v>
      </c>
      <c r="BA1171" s="88" t="s">
        <v>67</v>
      </c>
      <c r="BC1171" s="93">
        <f>AW1171+AX1171</f>
        <v>0</v>
      </c>
      <c r="BD1171" s="93">
        <f>H1171/(100-BE1171)*100</f>
        <v>0</v>
      </c>
      <c r="BE1171" s="93">
        <v>0</v>
      </c>
      <c r="BF1171" s="93">
        <f>O1171</f>
        <v>0</v>
      </c>
      <c r="BH1171" s="93">
        <f>G1171*AO1171</f>
        <v>0</v>
      </c>
      <c r="BI1171" s="93">
        <f>G1171*AP1171</f>
        <v>0</v>
      </c>
      <c r="BJ1171" s="93">
        <f>G1171*H1171</f>
        <v>0</v>
      </c>
      <c r="BK1171" s="93"/>
      <c r="BL1171" s="93">
        <v>98</v>
      </c>
      <c r="BW1171" s="93" t="str">
        <f>I1171</f>
        <v>21</v>
      </c>
      <c r="BX1171" s="2" t="s">
        <v>1337</v>
      </c>
    </row>
    <row r="1172" spans="1:76" s="81" customFormat="1" x14ac:dyDescent="0.25">
      <c r="A1172" s="66" t="s">
        <v>1342</v>
      </c>
      <c r="B1172" s="72" t="s">
        <v>55</v>
      </c>
      <c r="C1172" s="72" t="s">
        <v>1340</v>
      </c>
      <c r="D1172" s="174" t="s">
        <v>1341</v>
      </c>
      <c r="E1172" s="174"/>
      <c r="F1172" s="72" t="s">
        <v>222</v>
      </c>
      <c r="G1172" s="90">
        <v>0.91086999999999996</v>
      </c>
      <c r="H1172" s="91"/>
      <c r="I1172" s="92" t="s">
        <v>63</v>
      </c>
      <c r="J1172" s="90">
        <f>G1172*AO1172</f>
        <v>0</v>
      </c>
      <c r="K1172" s="90">
        <f>G1172*AP1172</f>
        <v>0</v>
      </c>
      <c r="L1172" s="90">
        <f>G1172*H1172</f>
        <v>0</v>
      </c>
      <c r="M1172" s="90">
        <f>L1172*(1+BW1172/100)</f>
        <v>0</v>
      </c>
      <c r="N1172" s="90">
        <v>0</v>
      </c>
      <c r="O1172" s="90">
        <f>G1172*N1172</f>
        <v>0</v>
      </c>
      <c r="P1172" s="92" t="s">
        <v>64</v>
      </c>
      <c r="Z1172" s="93">
        <f>IF(AQ1172="5",BJ1172,0)</f>
        <v>0</v>
      </c>
      <c r="AB1172" s="93">
        <f>IF(AQ1172="1",BH1172,0)</f>
        <v>0</v>
      </c>
      <c r="AC1172" s="93">
        <f>IF(AQ1172="1",BI1172,0)</f>
        <v>0</v>
      </c>
      <c r="AD1172" s="93">
        <f>IF(AQ1172="7",BH1172,0)</f>
        <v>0</v>
      </c>
      <c r="AE1172" s="93">
        <f>IF(AQ1172="7",BI1172,0)</f>
        <v>0</v>
      </c>
      <c r="AF1172" s="93">
        <f>IF(AQ1172="2",BH1172,0)</f>
        <v>0</v>
      </c>
      <c r="AG1172" s="93">
        <f>IF(AQ1172="2",BI1172,0)</f>
        <v>0</v>
      </c>
      <c r="AH1172" s="93">
        <f>IF(AQ1172="0",BJ1172,0)</f>
        <v>0</v>
      </c>
      <c r="AI1172" s="88" t="s">
        <v>55</v>
      </c>
      <c r="AJ1172" s="93">
        <f>IF(AN1172=0,L1172,0)</f>
        <v>0</v>
      </c>
      <c r="AK1172" s="93">
        <f>IF(AN1172=12,L1172,0)</f>
        <v>0</v>
      </c>
      <c r="AL1172" s="93">
        <f>IF(AN1172=21,L1172,0)</f>
        <v>0</v>
      </c>
      <c r="AN1172" s="93">
        <v>21</v>
      </c>
      <c r="AO1172" s="93">
        <f>H1172*0</f>
        <v>0</v>
      </c>
      <c r="AP1172" s="93">
        <f>H1172*(1-0)</f>
        <v>0</v>
      </c>
      <c r="AQ1172" s="94" t="s">
        <v>136</v>
      </c>
      <c r="AV1172" s="93">
        <f>AW1172+AX1172</f>
        <v>0</v>
      </c>
      <c r="AW1172" s="93">
        <f>G1172*AO1172</f>
        <v>0</v>
      </c>
      <c r="AX1172" s="93">
        <f>G1172*AP1172</f>
        <v>0</v>
      </c>
      <c r="AY1172" s="94" t="s">
        <v>1338</v>
      </c>
      <c r="AZ1172" s="94" t="s">
        <v>1273</v>
      </c>
      <c r="BA1172" s="88" t="s">
        <v>67</v>
      </c>
      <c r="BC1172" s="93">
        <f>AW1172+AX1172</f>
        <v>0</v>
      </c>
      <c r="BD1172" s="93">
        <f>H1172/(100-BE1172)*100</f>
        <v>0</v>
      </c>
      <c r="BE1172" s="93">
        <v>0</v>
      </c>
      <c r="BF1172" s="93">
        <f>O1172</f>
        <v>0</v>
      </c>
      <c r="BH1172" s="93">
        <f>G1172*AO1172</f>
        <v>0</v>
      </c>
      <c r="BI1172" s="93">
        <f>G1172*AP1172</f>
        <v>0</v>
      </c>
      <c r="BJ1172" s="93">
        <f>G1172*H1172</f>
        <v>0</v>
      </c>
      <c r="BK1172" s="93"/>
      <c r="BL1172" s="93">
        <v>98</v>
      </c>
      <c r="BW1172" s="93" t="str">
        <f>I1172</f>
        <v>21</v>
      </c>
      <c r="BX1172" s="2" t="s">
        <v>1341</v>
      </c>
    </row>
    <row r="1173" spans="1:76" s="81" customFormat="1" x14ac:dyDescent="0.25">
      <c r="A1173" s="66" t="s">
        <v>1345</v>
      </c>
      <c r="B1173" s="72" t="s">
        <v>55</v>
      </c>
      <c r="C1173" s="72" t="s">
        <v>1343</v>
      </c>
      <c r="D1173" s="174" t="s">
        <v>1344</v>
      </c>
      <c r="E1173" s="174"/>
      <c r="F1173" s="72" t="s">
        <v>222</v>
      </c>
      <c r="G1173" s="90">
        <v>24.232659999999999</v>
      </c>
      <c r="H1173" s="91"/>
      <c r="I1173" s="92" t="s">
        <v>63</v>
      </c>
      <c r="J1173" s="90">
        <f>G1173*AO1173</f>
        <v>0</v>
      </c>
      <c r="K1173" s="90">
        <f>G1173*AP1173</f>
        <v>0</v>
      </c>
      <c r="L1173" s="90">
        <f>G1173*H1173</f>
        <v>0</v>
      </c>
      <c r="M1173" s="90">
        <f>L1173*(1+BW1173/100)</f>
        <v>0</v>
      </c>
      <c r="N1173" s="90">
        <v>0</v>
      </c>
      <c r="O1173" s="90">
        <f>G1173*N1173</f>
        <v>0</v>
      </c>
      <c r="P1173" s="92" t="s">
        <v>64</v>
      </c>
      <c r="Z1173" s="93">
        <f>IF(AQ1173="5",BJ1173,0)</f>
        <v>0</v>
      </c>
      <c r="AB1173" s="93">
        <f>IF(AQ1173="1",BH1173,0)</f>
        <v>0</v>
      </c>
      <c r="AC1173" s="93">
        <f>IF(AQ1173="1",BI1173,0)</f>
        <v>0</v>
      </c>
      <c r="AD1173" s="93">
        <f>IF(AQ1173="7",BH1173,0)</f>
        <v>0</v>
      </c>
      <c r="AE1173" s="93">
        <f>IF(AQ1173="7",BI1173,0)</f>
        <v>0</v>
      </c>
      <c r="AF1173" s="93">
        <f>IF(AQ1173="2",BH1173,0)</f>
        <v>0</v>
      </c>
      <c r="AG1173" s="93">
        <f>IF(AQ1173="2",BI1173,0)</f>
        <v>0</v>
      </c>
      <c r="AH1173" s="93">
        <f>IF(AQ1173="0",BJ1173,0)</f>
        <v>0</v>
      </c>
      <c r="AI1173" s="88" t="s">
        <v>55</v>
      </c>
      <c r="AJ1173" s="93">
        <f>IF(AN1173=0,L1173,0)</f>
        <v>0</v>
      </c>
      <c r="AK1173" s="93">
        <f>IF(AN1173=12,L1173,0)</f>
        <v>0</v>
      </c>
      <c r="AL1173" s="93">
        <f>IF(AN1173=21,L1173,0)</f>
        <v>0</v>
      </c>
      <c r="AN1173" s="93">
        <v>21</v>
      </c>
      <c r="AO1173" s="93">
        <f>H1173*0</f>
        <v>0</v>
      </c>
      <c r="AP1173" s="93">
        <f>H1173*(1-0)</f>
        <v>0</v>
      </c>
      <c r="AQ1173" s="94" t="s">
        <v>136</v>
      </c>
      <c r="AV1173" s="93">
        <f>AW1173+AX1173</f>
        <v>0</v>
      </c>
      <c r="AW1173" s="93">
        <f>G1173*AO1173</f>
        <v>0</v>
      </c>
      <c r="AX1173" s="93">
        <f>G1173*AP1173</f>
        <v>0</v>
      </c>
      <c r="AY1173" s="94" t="s">
        <v>1338</v>
      </c>
      <c r="AZ1173" s="94" t="s">
        <v>1273</v>
      </c>
      <c r="BA1173" s="88" t="s">
        <v>67</v>
      </c>
      <c r="BC1173" s="93">
        <f>AW1173+AX1173</f>
        <v>0</v>
      </c>
      <c r="BD1173" s="93">
        <f>H1173/(100-BE1173)*100</f>
        <v>0</v>
      </c>
      <c r="BE1173" s="93">
        <v>0</v>
      </c>
      <c r="BF1173" s="93">
        <f>O1173</f>
        <v>0</v>
      </c>
      <c r="BH1173" s="93">
        <f>G1173*AO1173</f>
        <v>0</v>
      </c>
      <c r="BI1173" s="93">
        <f>G1173*AP1173</f>
        <v>0</v>
      </c>
      <c r="BJ1173" s="93">
        <f>G1173*H1173</f>
        <v>0</v>
      </c>
      <c r="BK1173" s="93"/>
      <c r="BL1173" s="93">
        <v>98</v>
      </c>
      <c r="BW1173" s="93" t="str">
        <f>I1173</f>
        <v>21</v>
      </c>
      <c r="BX1173" s="2" t="s">
        <v>1344</v>
      </c>
    </row>
    <row r="1174" spans="1:76" s="81" customFormat="1" x14ac:dyDescent="0.25">
      <c r="A1174" s="66" t="s">
        <v>1349</v>
      </c>
      <c r="B1174" s="72" t="s">
        <v>55</v>
      </c>
      <c r="C1174" s="72" t="s">
        <v>1346</v>
      </c>
      <c r="D1174" s="174" t="s">
        <v>1347</v>
      </c>
      <c r="E1174" s="174"/>
      <c r="F1174" s="72" t="s">
        <v>222</v>
      </c>
      <c r="G1174" s="90">
        <v>4.3834999999999997</v>
      </c>
      <c r="H1174" s="91"/>
      <c r="I1174" s="92" t="s">
        <v>63</v>
      </c>
      <c r="J1174" s="90">
        <f>G1174*AO1174</f>
        <v>0</v>
      </c>
      <c r="K1174" s="90">
        <f>G1174*AP1174</f>
        <v>0</v>
      </c>
      <c r="L1174" s="90">
        <f>G1174*H1174</f>
        <v>0</v>
      </c>
      <c r="M1174" s="90">
        <f>L1174*(1+BW1174/100)</f>
        <v>0</v>
      </c>
      <c r="N1174" s="90">
        <v>0</v>
      </c>
      <c r="O1174" s="90">
        <f>G1174*N1174</f>
        <v>0</v>
      </c>
      <c r="P1174" s="92" t="s">
        <v>64</v>
      </c>
      <c r="Z1174" s="93">
        <f>IF(AQ1174="5",BJ1174,0)</f>
        <v>0</v>
      </c>
      <c r="AB1174" s="93">
        <f>IF(AQ1174="1",BH1174,0)</f>
        <v>0</v>
      </c>
      <c r="AC1174" s="93">
        <f>IF(AQ1174="1",BI1174,0)</f>
        <v>0</v>
      </c>
      <c r="AD1174" s="93">
        <f>IF(AQ1174="7",BH1174,0)</f>
        <v>0</v>
      </c>
      <c r="AE1174" s="93">
        <f>IF(AQ1174="7",BI1174,0)</f>
        <v>0</v>
      </c>
      <c r="AF1174" s="93">
        <f>IF(AQ1174="2",BH1174,0)</f>
        <v>0</v>
      </c>
      <c r="AG1174" s="93">
        <f>IF(AQ1174="2",BI1174,0)</f>
        <v>0</v>
      </c>
      <c r="AH1174" s="93">
        <f>IF(AQ1174="0",BJ1174,0)</f>
        <v>0</v>
      </c>
      <c r="AI1174" s="88" t="s">
        <v>55</v>
      </c>
      <c r="AJ1174" s="93">
        <f>IF(AN1174=0,L1174,0)</f>
        <v>0</v>
      </c>
      <c r="AK1174" s="93">
        <f>IF(AN1174=12,L1174,0)</f>
        <v>0</v>
      </c>
      <c r="AL1174" s="93">
        <f>IF(AN1174=21,L1174,0)</f>
        <v>0</v>
      </c>
      <c r="AN1174" s="93">
        <v>21</v>
      </c>
      <c r="AO1174" s="93">
        <f>H1174*0</f>
        <v>0</v>
      </c>
      <c r="AP1174" s="93">
        <f>H1174*(1-0)</f>
        <v>0</v>
      </c>
      <c r="AQ1174" s="94" t="s">
        <v>136</v>
      </c>
      <c r="AV1174" s="93">
        <f>AW1174+AX1174</f>
        <v>0</v>
      </c>
      <c r="AW1174" s="93">
        <f>G1174*AO1174</f>
        <v>0</v>
      </c>
      <c r="AX1174" s="93">
        <f>G1174*AP1174</f>
        <v>0</v>
      </c>
      <c r="AY1174" s="94" t="s">
        <v>1338</v>
      </c>
      <c r="AZ1174" s="94" t="s">
        <v>1273</v>
      </c>
      <c r="BA1174" s="88" t="s">
        <v>67</v>
      </c>
      <c r="BC1174" s="93">
        <f>AW1174+AX1174</f>
        <v>0</v>
      </c>
      <c r="BD1174" s="93">
        <f>H1174/(100-BE1174)*100</f>
        <v>0</v>
      </c>
      <c r="BE1174" s="93">
        <v>0</v>
      </c>
      <c r="BF1174" s="93">
        <f>O1174</f>
        <v>0</v>
      </c>
      <c r="BH1174" s="93">
        <f>G1174*AO1174</f>
        <v>0</v>
      </c>
      <c r="BI1174" s="93">
        <f>G1174*AP1174</f>
        <v>0</v>
      </c>
      <c r="BJ1174" s="93">
        <f>G1174*H1174</f>
        <v>0</v>
      </c>
      <c r="BK1174" s="93"/>
      <c r="BL1174" s="93">
        <v>98</v>
      </c>
      <c r="BW1174" s="93" t="str">
        <f>I1174</f>
        <v>21</v>
      </c>
      <c r="BX1174" s="2" t="s">
        <v>1347</v>
      </c>
    </row>
    <row r="1175" spans="1:76" s="81" customFormat="1" x14ac:dyDescent="0.25">
      <c r="A1175" s="109" t="s">
        <v>54</v>
      </c>
      <c r="B1175" s="74" t="s">
        <v>55</v>
      </c>
      <c r="C1175" s="74" t="s">
        <v>852</v>
      </c>
      <c r="D1175" s="180" t="s">
        <v>1348</v>
      </c>
      <c r="E1175" s="180"/>
      <c r="F1175" s="85" t="s">
        <v>4</v>
      </c>
      <c r="G1175" s="85" t="s">
        <v>4</v>
      </c>
      <c r="H1175" s="98"/>
      <c r="I1175" s="85" t="s">
        <v>4</v>
      </c>
      <c r="J1175" s="86">
        <f>SUM(J1176:J1176)</f>
        <v>0</v>
      </c>
      <c r="K1175" s="86">
        <f>SUM(K1176:K1176)</f>
        <v>0</v>
      </c>
      <c r="L1175" s="86">
        <f>SUM(L1176:L1176)</f>
        <v>0</v>
      </c>
      <c r="M1175" s="86">
        <f>SUM(M1176:M1176)</f>
        <v>0</v>
      </c>
      <c r="N1175" s="87" t="s">
        <v>54</v>
      </c>
      <c r="O1175" s="86">
        <f>SUM(O1176:O1176)</f>
        <v>0</v>
      </c>
      <c r="P1175" s="87" t="s">
        <v>54</v>
      </c>
      <c r="AI1175" s="88" t="s">
        <v>55</v>
      </c>
      <c r="AS1175" s="89">
        <f>SUM(AJ1176:AJ1176)</f>
        <v>0</v>
      </c>
      <c r="AT1175" s="89">
        <f>SUM(AK1176:AK1176)</f>
        <v>0</v>
      </c>
      <c r="AU1175" s="89">
        <f>SUM(AL1176:AL1176)</f>
        <v>0</v>
      </c>
    </row>
    <row r="1176" spans="1:76" s="81" customFormat="1" x14ac:dyDescent="0.25">
      <c r="A1176" s="66" t="s">
        <v>1356</v>
      </c>
      <c r="B1176" s="72" t="s">
        <v>55</v>
      </c>
      <c r="C1176" s="72" t="s">
        <v>1350</v>
      </c>
      <c r="D1176" s="174" t="s">
        <v>1351</v>
      </c>
      <c r="E1176" s="174"/>
      <c r="F1176" s="72" t="s">
        <v>222</v>
      </c>
      <c r="G1176" s="67">
        <v>3720.6824000000001</v>
      </c>
      <c r="H1176" s="91"/>
      <c r="I1176" s="92" t="s">
        <v>63</v>
      </c>
      <c r="J1176" s="90">
        <f>G1176*AO1176</f>
        <v>0</v>
      </c>
      <c r="K1176" s="90">
        <f>G1176*AP1176</f>
        <v>0</v>
      </c>
      <c r="L1176" s="90">
        <f>G1176*H1176</f>
        <v>0</v>
      </c>
      <c r="M1176" s="90">
        <f>L1176*(1+BW1176/100)</f>
        <v>0</v>
      </c>
      <c r="N1176" s="90">
        <v>0</v>
      </c>
      <c r="O1176" s="90">
        <f>G1176*N1176</f>
        <v>0</v>
      </c>
      <c r="P1176" s="92" t="s">
        <v>64</v>
      </c>
      <c r="Z1176" s="93">
        <f>IF(AQ1176="5",BJ1176,0)</f>
        <v>0</v>
      </c>
      <c r="AB1176" s="93">
        <f>IF(AQ1176="1",BH1176,0)</f>
        <v>0</v>
      </c>
      <c r="AC1176" s="93">
        <f>IF(AQ1176="1",BI1176,0)</f>
        <v>0</v>
      </c>
      <c r="AD1176" s="93">
        <f>IF(AQ1176="7",BH1176,0)</f>
        <v>0</v>
      </c>
      <c r="AE1176" s="93">
        <f>IF(AQ1176="7",BI1176,0)</f>
        <v>0</v>
      </c>
      <c r="AF1176" s="93">
        <f>IF(AQ1176="2",BH1176,0)</f>
        <v>0</v>
      </c>
      <c r="AG1176" s="93">
        <f>IF(AQ1176="2",BI1176,0)</f>
        <v>0</v>
      </c>
      <c r="AH1176" s="93">
        <f>IF(AQ1176="0",BJ1176,0)</f>
        <v>0</v>
      </c>
      <c r="AI1176" s="88" t="s">
        <v>55</v>
      </c>
      <c r="AJ1176" s="93">
        <f>IF(AN1176=0,L1176,0)</f>
        <v>0</v>
      </c>
      <c r="AK1176" s="93">
        <f>IF(AN1176=12,L1176,0)</f>
        <v>0</v>
      </c>
      <c r="AL1176" s="93">
        <f>IF(AN1176=21,L1176,0)</f>
        <v>0</v>
      </c>
      <c r="AN1176" s="93">
        <v>21</v>
      </c>
      <c r="AO1176" s="93">
        <f>H1176*0</f>
        <v>0</v>
      </c>
      <c r="AP1176" s="93">
        <f>H1176*(1-0)</f>
        <v>0</v>
      </c>
      <c r="AQ1176" s="94" t="s">
        <v>136</v>
      </c>
      <c r="AV1176" s="93">
        <f>AW1176+AX1176</f>
        <v>0</v>
      </c>
      <c r="AW1176" s="93">
        <f>G1176*AO1176</f>
        <v>0</v>
      </c>
      <c r="AX1176" s="93">
        <f>G1176*AP1176</f>
        <v>0</v>
      </c>
      <c r="AY1176" s="94" t="s">
        <v>1352</v>
      </c>
      <c r="AZ1176" s="94" t="s">
        <v>1273</v>
      </c>
      <c r="BA1176" s="88" t="s">
        <v>67</v>
      </c>
      <c r="BC1176" s="93">
        <f>AW1176+AX1176</f>
        <v>0</v>
      </c>
      <c r="BD1176" s="93">
        <f>H1176/(100-BE1176)*100</f>
        <v>0</v>
      </c>
      <c r="BE1176" s="93">
        <v>0</v>
      </c>
      <c r="BF1176" s="93">
        <f>O1176</f>
        <v>0</v>
      </c>
      <c r="BH1176" s="93">
        <f>G1176*AO1176</f>
        <v>0</v>
      </c>
      <c r="BI1176" s="93">
        <f>G1176*AP1176</f>
        <v>0</v>
      </c>
      <c r="BJ1176" s="93">
        <f>G1176*H1176</f>
        <v>0</v>
      </c>
      <c r="BK1176" s="93"/>
      <c r="BL1176" s="93">
        <v>99</v>
      </c>
      <c r="BW1176" s="93" t="str">
        <f>I1176</f>
        <v>21</v>
      </c>
      <c r="BX1176" s="2" t="s">
        <v>1351</v>
      </c>
    </row>
    <row r="1177" spans="1:76" s="81" customFormat="1" x14ac:dyDescent="0.25">
      <c r="A1177" s="108" t="s">
        <v>54</v>
      </c>
      <c r="B1177" s="73" t="s">
        <v>55</v>
      </c>
      <c r="C1177" s="73" t="s">
        <v>54</v>
      </c>
      <c r="D1177" s="184" t="s">
        <v>1353</v>
      </c>
      <c r="E1177" s="184"/>
      <c r="F1177" s="82" t="s">
        <v>4</v>
      </c>
      <c r="G1177" s="82" t="s">
        <v>4</v>
      </c>
      <c r="H1177" s="99"/>
      <c r="I1177" s="82" t="s">
        <v>4</v>
      </c>
      <c r="J1177" s="83">
        <f>J1178+J1269+J1387+J1553+J1575+J1592+J1604+J1612+J1621+J1635+J1642+J1650+J1674+J1701+J1730+J1772+J1782+J1818+J1894+J2000+J2033+J2103+J2150+J2226+J2230+J2235+J2239+J2359</f>
        <v>0</v>
      </c>
      <c r="K1177" s="83">
        <f>K1178+K1269+K1387+K1553+K1575+K1592+K1604+K1612+K1621+K1635+K1642+K1650+K1674+K1701+K1730+K1772+K1782+K1818+K1894+K2000+K2033+K2103+K2150+K2226+K2230+K2235+K2239+K2359</f>
        <v>0</v>
      </c>
      <c r="L1177" s="83">
        <f>L1178+L1269+L1387+L1553+L1575+L1592+L1604+L1612+L1621+L1635+L1642+L1650+L1674+L1701+L1730+L1772+L1782+L1818+L1894+L2000+L2033+L2103+L2150+L2226+L2230+L2235+L2239+L2359</f>
        <v>0</v>
      </c>
      <c r="M1177" s="83">
        <f>M1178+M1269+M1387+M1553+M1575+M1592+M1604+M1612+M1621+M1635+M1642+M1650+M1674+M1701+M1730+M1772+M1782+M1818+M1894+M2000+M2033+M2103+M2150+M2226+M2230+M2235+M2239+M2359</f>
        <v>0</v>
      </c>
      <c r="N1177" s="84" t="s">
        <v>54</v>
      </c>
      <c r="O1177" s="83">
        <f>O1178+O1269+O1387+O1553+O1575+O1592+O1604+O1612+O1621+O1635+O1642+O1650+O1674+O1701+O1730+O1772+O1782+O1818+O1894+O2000+O2033+O2103+O2150+O2226+O2230+O2235+O2239+O2359</f>
        <v>14484.505833472102</v>
      </c>
      <c r="P1177" s="84" t="s">
        <v>54</v>
      </c>
    </row>
    <row r="1178" spans="1:76" s="81" customFormat="1" x14ac:dyDescent="0.25">
      <c r="A1178" s="109" t="s">
        <v>54</v>
      </c>
      <c r="B1178" s="74" t="s">
        <v>55</v>
      </c>
      <c r="C1178" s="74" t="s">
        <v>1354</v>
      </c>
      <c r="D1178" s="180" t="s">
        <v>1355</v>
      </c>
      <c r="E1178" s="180"/>
      <c r="F1178" s="85" t="s">
        <v>4</v>
      </c>
      <c r="G1178" s="85" t="s">
        <v>4</v>
      </c>
      <c r="H1178" s="98"/>
      <c r="I1178" s="85" t="s">
        <v>4</v>
      </c>
      <c r="J1178" s="86">
        <f>SUM(J1179:J1268)</f>
        <v>0</v>
      </c>
      <c r="K1178" s="86">
        <f>SUM(K1179:K1268)</f>
        <v>0</v>
      </c>
      <c r="L1178" s="86">
        <f>SUM(L1179:L1268)</f>
        <v>0</v>
      </c>
      <c r="M1178" s="86">
        <f>SUM(M1179:M1268)</f>
        <v>0</v>
      </c>
      <c r="N1178" s="87" t="s">
        <v>54</v>
      </c>
      <c r="O1178" s="86">
        <f>SUM(O1179:O1268)</f>
        <v>23.264356550799999</v>
      </c>
      <c r="P1178" s="87" t="s">
        <v>54</v>
      </c>
      <c r="AI1178" s="88" t="s">
        <v>55</v>
      </c>
      <c r="AS1178" s="89">
        <f>SUM(AJ1179:AJ1268)</f>
        <v>0</v>
      </c>
      <c r="AT1178" s="89">
        <f>SUM(AK1179:AK1268)</f>
        <v>0</v>
      </c>
      <c r="AU1178" s="89">
        <f>SUM(AL1179:AL1268)</f>
        <v>0</v>
      </c>
    </row>
    <row r="1179" spans="1:76" s="81" customFormat="1" ht="25.5" x14ac:dyDescent="0.25">
      <c r="A1179" s="66" t="s">
        <v>1366</v>
      </c>
      <c r="B1179" s="72" t="s">
        <v>55</v>
      </c>
      <c r="C1179" s="72" t="s">
        <v>1357</v>
      </c>
      <c r="D1179" s="174" t="s">
        <v>1358</v>
      </c>
      <c r="E1179" s="174"/>
      <c r="F1179" s="72" t="s">
        <v>192</v>
      </c>
      <c r="G1179" s="90">
        <v>1237.9043799999999</v>
      </c>
      <c r="H1179" s="91"/>
      <c r="I1179" s="92" t="s">
        <v>63</v>
      </c>
      <c r="J1179" s="90">
        <f>G1179*AO1179</f>
        <v>0</v>
      </c>
      <c r="K1179" s="90">
        <f>G1179*AP1179</f>
        <v>0</v>
      </c>
      <c r="L1179" s="90">
        <f>G1179*H1179</f>
        <v>0</v>
      </c>
      <c r="M1179" s="90">
        <f>L1179*(1+BW1179/100)</f>
        <v>0</v>
      </c>
      <c r="N1179" s="90">
        <v>3.2000000000000003E-4</v>
      </c>
      <c r="O1179" s="90">
        <f>G1179*N1179</f>
        <v>0.39612940160000004</v>
      </c>
      <c r="P1179" s="92" t="s">
        <v>64</v>
      </c>
      <c r="Z1179" s="93">
        <f>IF(AQ1179="5",BJ1179,0)</f>
        <v>0</v>
      </c>
      <c r="AB1179" s="93">
        <f>IF(AQ1179="1",BH1179,0)</f>
        <v>0</v>
      </c>
      <c r="AC1179" s="93">
        <f>IF(AQ1179="1",BI1179,0)</f>
        <v>0</v>
      </c>
      <c r="AD1179" s="93">
        <f>IF(AQ1179="7",BH1179,0)</f>
        <v>0</v>
      </c>
      <c r="AE1179" s="93">
        <f>IF(AQ1179="7",BI1179,0)</f>
        <v>0</v>
      </c>
      <c r="AF1179" s="93">
        <f>IF(AQ1179="2",BH1179,0)</f>
        <v>0</v>
      </c>
      <c r="AG1179" s="93">
        <f>IF(AQ1179="2",BI1179,0)</f>
        <v>0</v>
      </c>
      <c r="AH1179" s="93">
        <f>IF(AQ1179="0",BJ1179,0)</f>
        <v>0</v>
      </c>
      <c r="AI1179" s="88" t="s">
        <v>55</v>
      </c>
      <c r="AJ1179" s="93">
        <f>IF(AN1179=0,L1179,0)</f>
        <v>0</v>
      </c>
      <c r="AK1179" s="93">
        <f>IF(AN1179=12,L1179,0)</f>
        <v>0</v>
      </c>
      <c r="AL1179" s="93">
        <f>IF(AN1179=21,L1179,0)</f>
        <v>0</v>
      </c>
      <c r="AN1179" s="93">
        <v>21</v>
      </c>
      <c r="AO1179" s="93">
        <f>H1179*0.448163275</f>
        <v>0</v>
      </c>
      <c r="AP1179" s="93">
        <f>H1179*(1-0.448163275)</f>
        <v>0</v>
      </c>
      <c r="AQ1179" s="94" t="s">
        <v>148</v>
      </c>
      <c r="AV1179" s="93">
        <f>AW1179+AX1179</f>
        <v>0</v>
      </c>
      <c r="AW1179" s="93">
        <f>G1179*AO1179</f>
        <v>0</v>
      </c>
      <c r="AX1179" s="93">
        <f>G1179*AP1179</f>
        <v>0</v>
      </c>
      <c r="AY1179" s="94" t="s">
        <v>1359</v>
      </c>
      <c r="AZ1179" s="94" t="s">
        <v>1360</v>
      </c>
      <c r="BA1179" s="88" t="s">
        <v>67</v>
      </c>
      <c r="BC1179" s="93">
        <f>AW1179+AX1179</f>
        <v>0</v>
      </c>
      <c r="BD1179" s="93">
        <f>H1179/(100-BE1179)*100</f>
        <v>0</v>
      </c>
      <c r="BE1179" s="93">
        <v>0</v>
      </c>
      <c r="BF1179" s="93">
        <f>O1179</f>
        <v>0.39612940160000004</v>
      </c>
      <c r="BH1179" s="93">
        <f>G1179*AO1179</f>
        <v>0</v>
      </c>
      <c r="BI1179" s="93">
        <f>G1179*AP1179</f>
        <v>0</v>
      </c>
      <c r="BJ1179" s="93">
        <f>G1179*H1179</f>
        <v>0</v>
      </c>
      <c r="BK1179" s="93"/>
      <c r="BL1179" s="93">
        <v>711</v>
      </c>
      <c r="BW1179" s="93" t="str">
        <f>I1179</f>
        <v>21</v>
      </c>
      <c r="BX1179" s="2" t="s">
        <v>1358</v>
      </c>
    </row>
    <row r="1180" spans="1:76" s="81" customFormat="1" ht="13.5" customHeight="1" x14ac:dyDescent="0.25">
      <c r="A1180" s="110"/>
      <c r="B1180" s="95"/>
      <c r="C1180" s="95"/>
      <c r="D1180" s="179" t="s">
        <v>1361</v>
      </c>
      <c r="E1180" s="179"/>
      <c r="F1180" s="179"/>
      <c r="G1180" s="179"/>
      <c r="H1180" s="179"/>
      <c r="I1180" s="179"/>
      <c r="J1180" s="179"/>
      <c r="K1180" s="179"/>
      <c r="L1180" s="179"/>
      <c r="M1180" s="179"/>
      <c r="N1180" s="179"/>
      <c r="O1180" s="179"/>
      <c r="P1180" s="179"/>
    </row>
    <row r="1181" spans="1:76" s="81" customFormat="1" x14ac:dyDescent="0.25">
      <c r="A1181" s="110"/>
      <c r="B1181" s="95"/>
      <c r="C1181" s="95"/>
      <c r="D1181" s="76" t="s">
        <v>54</v>
      </c>
      <c r="E1181" s="76" t="s">
        <v>1362</v>
      </c>
      <c r="F1181" s="95"/>
      <c r="G1181" s="96">
        <v>0</v>
      </c>
      <c r="H1181" s="95"/>
      <c r="I1181" s="95"/>
      <c r="J1181" s="95"/>
      <c r="K1181" s="95"/>
      <c r="L1181" s="95"/>
      <c r="M1181" s="95"/>
      <c r="N1181" s="95"/>
      <c r="O1181" s="95"/>
      <c r="P1181" s="95"/>
    </row>
    <row r="1182" spans="1:76" s="81" customFormat="1" x14ac:dyDescent="0.25">
      <c r="A1182" s="110"/>
      <c r="B1182" s="95"/>
      <c r="C1182" s="95"/>
      <c r="D1182" s="76" t="s">
        <v>1363</v>
      </c>
      <c r="E1182" s="76" t="s">
        <v>54</v>
      </c>
      <c r="F1182" s="95"/>
      <c r="G1182" s="96">
        <v>899.4</v>
      </c>
      <c r="H1182" s="95"/>
      <c r="I1182" s="95"/>
      <c r="J1182" s="95"/>
      <c r="K1182" s="95"/>
      <c r="L1182" s="95"/>
      <c r="M1182" s="95"/>
      <c r="N1182" s="95"/>
      <c r="O1182" s="95"/>
      <c r="P1182" s="95"/>
    </row>
    <row r="1183" spans="1:76" s="81" customFormat="1" ht="25.5" x14ac:dyDescent="0.25">
      <c r="A1183" s="110"/>
      <c r="B1183" s="95"/>
      <c r="C1183" s="95"/>
      <c r="D1183" s="76" t="s">
        <v>54</v>
      </c>
      <c r="E1183" s="76" t="s">
        <v>1364</v>
      </c>
      <c r="F1183" s="95"/>
      <c r="G1183" s="96">
        <v>0</v>
      </c>
      <c r="H1183" s="95"/>
      <c r="I1183" s="95"/>
      <c r="J1183" s="95"/>
      <c r="K1183" s="95"/>
      <c r="L1183" s="95"/>
      <c r="M1183" s="95"/>
      <c r="N1183" s="95"/>
      <c r="O1183" s="95"/>
      <c r="P1183" s="95"/>
    </row>
    <row r="1184" spans="1:76" s="81" customFormat="1" ht="25.5" x14ac:dyDescent="0.25">
      <c r="A1184" s="110"/>
      <c r="B1184" s="95"/>
      <c r="C1184" s="95"/>
      <c r="D1184" s="76" t="s">
        <v>1365</v>
      </c>
      <c r="E1184" s="76" t="s">
        <v>54</v>
      </c>
      <c r="F1184" s="95"/>
      <c r="G1184" s="96">
        <v>338.50438000000003</v>
      </c>
      <c r="H1184" s="95"/>
      <c r="I1184" s="95"/>
      <c r="J1184" s="95"/>
      <c r="K1184" s="95"/>
      <c r="L1184" s="95"/>
      <c r="M1184" s="95"/>
      <c r="N1184" s="95"/>
      <c r="O1184" s="95"/>
      <c r="P1184" s="95"/>
    </row>
    <row r="1185" spans="1:76" s="81" customFormat="1" ht="25.5" x14ac:dyDescent="0.25">
      <c r="A1185" s="66" t="s">
        <v>1374</v>
      </c>
      <c r="B1185" s="72" t="s">
        <v>55</v>
      </c>
      <c r="C1185" s="72" t="s">
        <v>1367</v>
      </c>
      <c r="D1185" s="174" t="s">
        <v>1368</v>
      </c>
      <c r="E1185" s="174"/>
      <c r="F1185" s="72" t="s">
        <v>192</v>
      </c>
      <c r="G1185" s="90">
        <v>1049.59069</v>
      </c>
      <c r="H1185" s="91"/>
      <c r="I1185" s="92" t="s">
        <v>63</v>
      </c>
      <c r="J1185" s="90">
        <f>G1185*AO1185</f>
        <v>0</v>
      </c>
      <c r="K1185" s="90">
        <f>G1185*AP1185</f>
        <v>0</v>
      </c>
      <c r="L1185" s="90">
        <f>G1185*H1185</f>
        <v>0</v>
      </c>
      <c r="M1185" s="90">
        <f>L1185*(1+BW1185/100)</f>
        <v>0</v>
      </c>
      <c r="N1185" s="90">
        <v>3.3E-4</v>
      </c>
      <c r="O1185" s="90">
        <f>G1185*N1185</f>
        <v>0.34636492769999999</v>
      </c>
      <c r="P1185" s="92" t="s">
        <v>64</v>
      </c>
      <c r="Z1185" s="93">
        <f>IF(AQ1185="5",BJ1185,0)</f>
        <v>0</v>
      </c>
      <c r="AB1185" s="93">
        <f>IF(AQ1185="1",BH1185,0)</f>
        <v>0</v>
      </c>
      <c r="AC1185" s="93">
        <f>IF(AQ1185="1",BI1185,0)</f>
        <v>0</v>
      </c>
      <c r="AD1185" s="93">
        <f>IF(AQ1185="7",BH1185,0)</f>
        <v>0</v>
      </c>
      <c r="AE1185" s="93">
        <f>IF(AQ1185="7",BI1185,0)</f>
        <v>0</v>
      </c>
      <c r="AF1185" s="93">
        <f>IF(AQ1185="2",BH1185,0)</f>
        <v>0</v>
      </c>
      <c r="AG1185" s="93">
        <f>IF(AQ1185="2",BI1185,0)</f>
        <v>0</v>
      </c>
      <c r="AH1185" s="93">
        <f>IF(AQ1185="0",BJ1185,0)</f>
        <v>0</v>
      </c>
      <c r="AI1185" s="88" t="s">
        <v>55</v>
      </c>
      <c r="AJ1185" s="93">
        <f>IF(AN1185=0,L1185,0)</f>
        <v>0</v>
      </c>
      <c r="AK1185" s="93">
        <f>IF(AN1185=12,L1185,0)</f>
        <v>0</v>
      </c>
      <c r="AL1185" s="93">
        <f>IF(AN1185=21,L1185,0)</f>
        <v>0</v>
      </c>
      <c r="AN1185" s="93">
        <v>21</v>
      </c>
      <c r="AO1185" s="93">
        <f>H1185*0.726204196</f>
        <v>0</v>
      </c>
      <c r="AP1185" s="93">
        <f>H1185*(1-0.726204196)</f>
        <v>0</v>
      </c>
      <c r="AQ1185" s="94" t="s">
        <v>148</v>
      </c>
      <c r="AV1185" s="93">
        <f>AW1185+AX1185</f>
        <v>0</v>
      </c>
      <c r="AW1185" s="93">
        <f>G1185*AO1185</f>
        <v>0</v>
      </c>
      <c r="AX1185" s="93">
        <f>G1185*AP1185</f>
        <v>0</v>
      </c>
      <c r="AY1185" s="94" t="s">
        <v>1359</v>
      </c>
      <c r="AZ1185" s="94" t="s">
        <v>1360</v>
      </c>
      <c r="BA1185" s="88" t="s">
        <v>67</v>
      </c>
      <c r="BC1185" s="93">
        <f>AW1185+AX1185</f>
        <v>0</v>
      </c>
      <c r="BD1185" s="93">
        <f>H1185/(100-BE1185)*100</f>
        <v>0</v>
      </c>
      <c r="BE1185" s="93">
        <v>0</v>
      </c>
      <c r="BF1185" s="93">
        <f>O1185</f>
        <v>0.34636492769999999</v>
      </c>
      <c r="BH1185" s="93">
        <f>G1185*AO1185</f>
        <v>0</v>
      </c>
      <c r="BI1185" s="93">
        <f>G1185*AP1185</f>
        <v>0</v>
      </c>
      <c r="BJ1185" s="93">
        <f>G1185*H1185</f>
        <v>0</v>
      </c>
      <c r="BK1185" s="93"/>
      <c r="BL1185" s="93">
        <v>711</v>
      </c>
      <c r="BW1185" s="93" t="str">
        <f>I1185</f>
        <v>21</v>
      </c>
      <c r="BX1185" s="2" t="s">
        <v>1368</v>
      </c>
    </row>
    <row r="1186" spans="1:76" s="81" customFormat="1" ht="13.5" customHeight="1" x14ac:dyDescent="0.25">
      <c r="A1186" s="110"/>
      <c r="B1186" s="95"/>
      <c r="C1186" s="95"/>
      <c r="D1186" s="179" t="s">
        <v>1369</v>
      </c>
      <c r="E1186" s="179"/>
      <c r="F1186" s="179"/>
      <c r="G1186" s="179"/>
      <c r="H1186" s="179"/>
      <c r="I1186" s="179"/>
      <c r="J1186" s="179"/>
      <c r="K1186" s="179"/>
      <c r="L1186" s="179"/>
      <c r="M1186" s="179"/>
      <c r="N1186" s="179"/>
      <c r="O1186" s="179"/>
      <c r="P1186" s="179"/>
    </row>
    <row r="1187" spans="1:76" s="81" customFormat="1" x14ac:dyDescent="0.25">
      <c r="A1187" s="110"/>
      <c r="B1187" s="95"/>
      <c r="C1187" s="95"/>
      <c r="D1187" s="76" t="s">
        <v>54</v>
      </c>
      <c r="E1187" s="76" t="s">
        <v>1135</v>
      </c>
      <c r="F1187" s="95"/>
      <c r="G1187" s="96">
        <v>0</v>
      </c>
      <c r="H1187" s="95"/>
      <c r="I1187" s="95"/>
      <c r="J1187" s="95"/>
      <c r="K1187" s="95"/>
      <c r="L1187" s="95"/>
      <c r="M1187" s="95"/>
      <c r="N1187" s="95"/>
      <c r="O1187" s="95"/>
      <c r="P1187" s="95"/>
    </row>
    <row r="1188" spans="1:76" s="81" customFormat="1" x14ac:dyDescent="0.25">
      <c r="A1188" s="110"/>
      <c r="B1188" s="95"/>
      <c r="C1188" s="95"/>
      <c r="D1188" s="76" t="s">
        <v>1370</v>
      </c>
      <c r="E1188" s="76" t="s">
        <v>54</v>
      </c>
      <c r="F1188" s="95"/>
      <c r="G1188" s="96">
        <v>1010.3814</v>
      </c>
      <c r="H1188" s="95"/>
      <c r="I1188" s="95"/>
      <c r="J1188" s="95"/>
      <c r="K1188" s="95"/>
      <c r="L1188" s="95"/>
      <c r="M1188" s="95"/>
      <c r="N1188" s="95"/>
      <c r="O1188" s="95"/>
      <c r="P1188" s="95"/>
    </row>
    <row r="1189" spans="1:76" s="81" customFormat="1" x14ac:dyDescent="0.25">
      <c r="A1189" s="110"/>
      <c r="B1189" s="95"/>
      <c r="C1189" s="95"/>
      <c r="D1189" s="76" t="s">
        <v>1371</v>
      </c>
      <c r="E1189" s="76" t="s">
        <v>54</v>
      </c>
      <c r="F1189" s="95"/>
      <c r="G1189" s="96">
        <v>6.2759999999999998</v>
      </c>
      <c r="H1189" s="95"/>
      <c r="I1189" s="95"/>
      <c r="J1189" s="95"/>
      <c r="K1189" s="95"/>
      <c r="L1189" s="95"/>
      <c r="M1189" s="95"/>
      <c r="N1189" s="95"/>
      <c r="O1189" s="95"/>
      <c r="P1189" s="95"/>
    </row>
    <row r="1190" spans="1:76" s="81" customFormat="1" ht="25.5" x14ac:dyDescent="0.25">
      <c r="A1190" s="110"/>
      <c r="B1190" s="95"/>
      <c r="C1190" s="95"/>
      <c r="D1190" s="76" t="s">
        <v>1372</v>
      </c>
      <c r="E1190" s="76" t="s">
        <v>54</v>
      </c>
      <c r="F1190" s="95"/>
      <c r="G1190" s="96">
        <v>6.6015199999999998</v>
      </c>
      <c r="H1190" s="95"/>
      <c r="I1190" s="95"/>
      <c r="J1190" s="95"/>
      <c r="K1190" s="95"/>
      <c r="L1190" s="95"/>
      <c r="M1190" s="95"/>
      <c r="N1190" s="95"/>
      <c r="O1190" s="95"/>
      <c r="P1190" s="95"/>
    </row>
    <row r="1191" spans="1:76" s="81" customFormat="1" x14ac:dyDescent="0.25">
      <c r="A1191" s="110"/>
      <c r="B1191" s="95"/>
      <c r="C1191" s="95"/>
      <c r="D1191" s="76" t="s">
        <v>1373</v>
      </c>
      <c r="E1191" s="76" t="s">
        <v>54</v>
      </c>
      <c r="F1191" s="95"/>
      <c r="G1191" s="96">
        <v>26.331769999999999</v>
      </c>
      <c r="H1191" s="95"/>
      <c r="I1191" s="95"/>
      <c r="J1191" s="95"/>
      <c r="K1191" s="95"/>
      <c r="L1191" s="95"/>
      <c r="M1191" s="95"/>
      <c r="N1191" s="95"/>
      <c r="O1191" s="95"/>
      <c r="P1191" s="95"/>
    </row>
    <row r="1192" spans="1:76" s="81" customFormat="1" ht="25.5" x14ac:dyDescent="0.25">
      <c r="A1192" s="66" t="s">
        <v>1378</v>
      </c>
      <c r="B1192" s="72" t="s">
        <v>55</v>
      </c>
      <c r="C1192" s="72" t="s">
        <v>1375</v>
      </c>
      <c r="D1192" s="174" t="s">
        <v>1376</v>
      </c>
      <c r="E1192" s="174"/>
      <c r="F1192" s="72" t="s">
        <v>192</v>
      </c>
      <c r="G1192" s="90">
        <v>1049.59069</v>
      </c>
      <c r="H1192" s="91"/>
      <c r="I1192" s="92" t="s">
        <v>63</v>
      </c>
      <c r="J1192" s="90">
        <f>G1192*AO1192</f>
        <v>0</v>
      </c>
      <c r="K1192" s="90">
        <f>G1192*AP1192</f>
        <v>0</v>
      </c>
      <c r="L1192" s="90">
        <f>G1192*H1192</f>
        <v>0</v>
      </c>
      <c r="M1192" s="90">
        <f>L1192*(1+BW1192/100)</f>
        <v>0</v>
      </c>
      <c r="N1192" s="90">
        <v>8.1999999999999998E-4</v>
      </c>
      <c r="O1192" s="90">
        <f>G1192*N1192</f>
        <v>0.86066436579999994</v>
      </c>
      <c r="P1192" s="92" t="s">
        <v>64</v>
      </c>
      <c r="Z1192" s="93">
        <f>IF(AQ1192="5",BJ1192,0)</f>
        <v>0</v>
      </c>
      <c r="AB1192" s="93">
        <f>IF(AQ1192="1",BH1192,0)</f>
        <v>0</v>
      </c>
      <c r="AC1192" s="93">
        <f>IF(AQ1192="1",BI1192,0)</f>
        <v>0</v>
      </c>
      <c r="AD1192" s="93">
        <f>IF(AQ1192="7",BH1192,0)</f>
        <v>0</v>
      </c>
      <c r="AE1192" s="93">
        <f>IF(AQ1192="7",BI1192,0)</f>
        <v>0</v>
      </c>
      <c r="AF1192" s="93">
        <f>IF(AQ1192="2",BH1192,0)</f>
        <v>0</v>
      </c>
      <c r="AG1192" s="93">
        <f>IF(AQ1192="2",BI1192,0)</f>
        <v>0</v>
      </c>
      <c r="AH1192" s="93">
        <f>IF(AQ1192="0",BJ1192,0)</f>
        <v>0</v>
      </c>
      <c r="AI1192" s="88" t="s">
        <v>55</v>
      </c>
      <c r="AJ1192" s="93">
        <f>IF(AN1192=0,L1192,0)</f>
        <v>0</v>
      </c>
      <c r="AK1192" s="93">
        <f>IF(AN1192=12,L1192,0)</f>
        <v>0</v>
      </c>
      <c r="AL1192" s="93">
        <f>IF(AN1192=21,L1192,0)</f>
        <v>0</v>
      </c>
      <c r="AN1192" s="93">
        <v>21</v>
      </c>
      <c r="AO1192" s="93">
        <f>H1192*0.081084213</f>
        <v>0</v>
      </c>
      <c r="AP1192" s="93">
        <f>H1192*(1-0.081084213)</f>
        <v>0</v>
      </c>
      <c r="AQ1192" s="94" t="s">
        <v>148</v>
      </c>
      <c r="AV1192" s="93">
        <f>AW1192+AX1192</f>
        <v>0</v>
      </c>
      <c r="AW1192" s="93">
        <f>G1192*AO1192</f>
        <v>0</v>
      </c>
      <c r="AX1192" s="93">
        <f>G1192*AP1192</f>
        <v>0</v>
      </c>
      <c r="AY1192" s="94" t="s">
        <v>1359</v>
      </c>
      <c r="AZ1192" s="94" t="s">
        <v>1360</v>
      </c>
      <c r="BA1192" s="88" t="s">
        <v>67</v>
      </c>
      <c r="BC1192" s="93">
        <f>AW1192+AX1192</f>
        <v>0</v>
      </c>
      <c r="BD1192" s="93">
        <f>H1192/(100-BE1192)*100</f>
        <v>0</v>
      </c>
      <c r="BE1192" s="93">
        <v>0</v>
      </c>
      <c r="BF1192" s="93">
        <f>O1192</f>
        <v>0.86066436579999994</v>
      </c>
      <c r="BH1192" s="93">
        <f>G1192*AO1192</f>
        <v>0</v>
      </c>
      <c r="BI1192" s="93">
        <f>G1192*AP1192</f>
        <v>0</v>
      </c>
      <c r="BJ1192" s="93">
        <f>G1192*H1192</f>
        <v>0</v>
      </c>
      <c r="BK1192" s="93"/>
      <c r="BL1192" s="93">
        <v>711</v>
      </c>
      <c r="BW1192" s="93" t="str">
        <f>I1192</f>
        <v>21</v>
      </c>
      <c r="BX1192" s="2" t="s">
        <v>1376</v>
      </c>
    </row>
    <row r="1193" spans="1:76" s="81" customFormat="1" ht="13.5" customHeight="1" x14ac:dyDescent="0.25">
      <c r="A1193" s="110"/>
      <c r="B1193" s="95"/>
      <c r="C1193" s="95"/>
      <c r="D1193" s="179" t="s">
        <v>1377</v>
      </c>
      <c r="E1193" s="179"/>
      <c r="F1193" s="179"/>
      <c r="G1193" s="179"/>
      <c r="H1193" s="179"/>
      <c r="I1193" s="179"/>
      <c r="J1193" s="179"/>
      <c r="K1193" s="179"/>
      <c r="L1193" s="179"/>
      <c r="M1193" s="179"/>
      <c r="N1193" s="179"/>
      <c r="O1193" s="179"/>
      <c r="P1193" s="179"/>
    </row>
    <row r="1194" spans="1:76" s="81" customFormat="1" x14ac:dyDescent="0.25">
      <c r="A1194" s="110"/>
      <c r="B1194" s="95"/>
      <c r="C1194" s="95"/>
      <c r="D1194" s="76" t="s">
        <v>54</v>
      </c>
      <c r="E1194" s="76" t="s">
        <v>1135</v>
      </c>
      <c r="F1194" s="95"/>
      <c r="G1194" s="96">
        <v>0</v>
      </c>
      <c r="H1194" s="95"/>
      <c r="I1194" s="95"/>
      <c r="J1194" s="95"/>
      <c r="K1194" s="95"/>
      <c r="L1194" s="95"/>
      <c r="M1194" s="95"/>
      <c r="N1194" s="95"/>
      <c r="O1194" s="95"/>
      <c r="P1194" s="95"/>
    </row>
    <row r="1195" spans="1:76" s="81" customFormat="1" x14ac:dyDescent="0.25">
      <c r="A1195" s="110"/>
      <c r="B1195" s="95"/>
      <c r="C1195" s="95"/>
      <c r="D1195" s="76" t="s">
        <v>1370</v>
      </c>
      <c r="E1195" s="76" t="s">
        <v>54</v>
      </c>
      <c r="F1195" s="95"/>
      <c r="G1195" s="96">
        <v>1010.3814</v>
      </c>
      <c r="H1195" s="95"/>
      <c r="I1195" s="95"/>
      <c r="J1195" s="95"/>
      <c r="K1195" s="95"/>
      <c r="L1195" s="95"/>
      <c r="M1195" s="95"/>
      <c r="N1195" s="95"/>
      <c r="O1195" s="95"/>
      <c r="P1195" s="95"/>
    </row>
    <row r="1196" spans="1:76" s="81" customFormat="1" x14ac:dyDescent="0.25">
      <c r="A1196" s="110"/>
      <c r="B1196" s="95"/>
      <c r="C1196" s="95"/>
      <c r="D1196" s="76" t="s">
        <v>1371</v>
      </c>
      <c r="E1196" s="76" t="s">
        <v>54</v>
      </c>
      <c r="F1196" s="95"/>
      <c r="G1196" s="96">
        <v>6.2759999999999998</v>
      </c>
      <c r="H1196" s="95"/>
      <c r="I1196" s="95"/>
      <c r="J1196" s="95"/>
      <c r="K1196" s="95"/>
      <c r="L1196" s="95"/>
      <c r="M1196" s="95"/>
      <c r="N1196" s="95"/>
      <c r="O1196" s="95"/>
      <c r="P1196" s="95"/>
    </row>
    <row r="1197" spans="1:76" s="81" customFormat="1" ht="25.5" x14ac:dyDescent="0.25">
      <c r="A1197" s="110"/>
      <c r="B1197" s="95"/>
      <c r="C1197" s="95"/>
      <c r="D1197" s="76" t="s">
        <v>1372</v>
      </c>
      <c r="E1197" s="76" t="s">
        <v>54</v>
      </c>
      <c r="F1197" s="95"/>
      <c r="G1197" s="96">
        <v>6.6015199999999998</v>
      </c>
      <c r="H1197" s="95"/>
      <c r="I1197" s="95"/>
      <c r="J1197" s="95"/>
      <c r="K1197" s="95"/>
      <c r="L1197" s="95"/>
      <c r="M1197" s="95"/>
      <c r="N1197" s="95"/>
      <c r="O1197" s="95"/>
      <c r="P1197" s="95"/>
    </row>
    <row r="1198" spans="1:76" s="81" customFormat="1" x14ac:dyDescent="0.25">
      <c r="A1198" s="110"/>
      <c r="B1198" s="95"/>
      <c r="C1198" s="95"/>
      <c r="D1198" s="76" t="s">
        <v>1373</v>
      </c>
      <c r="E1198" s="76" t="s">
        <v>54</v>
      </c>
      <c r="F1198" s="95"/>
      <c r="G1198" s="96">
        <v>26.331769999999999</v>
      </c>
      <c r="H1198" s="97"/>
      <c r="I1198" s="95"/>
      <c r="J1198" s="95"/>
      <c r="K1198" s="95"/>
      <c r="L1198" s="95"/>
      <c r="M1198" s="95"/>
      <c r="N1198" s="95"/>
      <c r="O1198" s="95"/>
      <c r="P1198" s="95"/>
    </row>
    <row r="1199" spans="1:76" s="81" customFormat="1" ht="25.5" x14ac:dyDescent="0.25">
      <c r="A1199" s="66" t="s">
        <v>1383</v>
      </c>
      <c r="B1199" s="72" t="s">
        <v>55</v>
      </c>
      <c r="C1199" s="72" t="s">
        <v>1379</v>
      </c>
      <c r="D1199" s="174" t="s">
        <v>1380</v>
      </c>
      <c r="E1199" s="174"/>
      <c r="F1199" s="72" t="s">
        <v>192</v>
      </c>
      <c r="G1199" s="90">
        <v>1207.0292899999999</v>
      </c>
      <c r="H1199" s="91"/>
      <c r="I1199" s="92" t="s">
        <v>63</v>
      </c>
      <c r="J1199" s="90">
        <f>G1199*AO1199</f>
        <v>0</v>
      </c>
      <c r="K1199" s="90">
        <f>G1199*AP1199</f>
        <v>0</v>
      </c>
      <c r="L1199" s="90">
        <f>G1199*H1199</f>
        <v>0</v>
      </c>
      <c r="M1199" s="90">
        <f>L1199*(1+BW1199/100)</f>
        <v>0</v>
      </c>
      <c r="N1199" s="90">
        <v>5.1999999999999998E-3</v>
      </c>
      <c r="O1199" s="90">
        <f>G1199*N1199</f>
        <v>6.2765523079999994</v>
      </c>
      <c r="P1199" s="92" t="s">
        <v>64</v>
      </c>
      <c r="Z1199" s="93">
        <f>IF(AQ1199="5",BJ1199,0)</f>
        <v>0</v>
      </c>
      <c r="AB1199" s="93">
        <f>IF(AQ1199="1",BH1199,0)</f>
        <v>0</v>
      </c>
      <c r="AC1199" s="93">
        <f>IF(AQ1199="1",BI1199,0)</f>
        <v>0</v>
      </c>
      <c r="AD1199" s="93">
        <f>IF(AQ1199="7",BH1199,0)</f>
        <v>0</v>
      </c>
      <c r="AE1199" s="93">
        <f>IF(AQ1199="7",BI1199,0)</f>
        <v>0</v>
      </c>
      <c r="AF1199" s="93">
        <f>IF(AQ1199="2",BH1199,0)</f>
        <v>0</v>
      </c>
      <c r="AG1199" s="93">
        <f>IF(AQ1199="2",BI1199,0)</f>
        <v>0</v>
      </c>
      <c r="AH1199" s="93">
        <f>IF(AQ1199="0",BJ1199,0)</f>
        <v>0</v>
      </c>
      <c r="AI1199" s="88" t="s">
        <v>55</v>
      </c>
      <c r="AJ1199" s="93">
        <f>IF(AN1199=0,L1199,0)</f>
        <v>0</v>
      </c>
      <c r="AK1199" s="93">
        <f>IF(AN1199=12,L1199,0)</f>
        <v>0</v>
      </c>
      <c r="AL1199" s="93">
        <f>IF(AN1199=21,L1199,0)</f>
        <v>0</v>
      </c>
      <c r="AN1199" s="93">
        <v>21</v>
      </c>
      <c r="AO1199" s="93">
        <f>H1199*1</f>
        <v>0</v>
      </c>
      <c r="AP1199" s="93">
        <f>H1199*(1-1)</f>
        <v>0</v>
      </c>
      <c r="AQ1199" s="94" t="s">
        <v>148</v>
      </c>
      <c r="AV1199" s="93">
        <f>AW1199+AX1199</f>
        <v>0</v>
      </c>
      <c r="AW1199" s="93">
        <f>G1199*AO1199</f>
        <v>0</v>
      </c>
      <c r="AX1199" s="93">
        <f>G1199*AP1199</f>
        <v>0</v>
      </c>
      <c r="AY1199" s="94" t="s">
        <v>1359</v>
      </c>
      <c r="AZ1199" s="94" t="s">
        <v>1360</v>
      </c>
      <c r="BA1199" s="88" t="s">
        <v>67</v>
      </c>
      <c r="BC1199" s="93">
        <f>AW1199+AX1199</f>
        <v>0</v>
      </c>
      <c r="BD1199" s="93">
        <f>H1199/(100-BE1199)*100</f>
        <v>0</v>
      </c>
      <c r="BE1199" s="93">
        <v>0</v>
      </c>
      <c r="BF1199" s="93">
        <f>O1199</f>
        <v>6.2765523079999994</v>
      </c>
      <c r="BH1199" s="93">
        <f>G1199*AO1199</f>
        <v>0</v>
      </c>
      <c r="BI1199" s="93">
        <f>G1199*AP1199</f>
        <v>0</v>
      </c>
      <c r="BJ1199" s="93">
        <f>G1199*H1199</f>
        <v>0</v>
      </c>
      <c r="BK1199" s="93"/>
      <c r="BL1199" s="93">
        <v>711</v>
      </c>
      <c r="BW1199" s="93" t="str">
        <f>I1199</f>
        <v>21</v>
      </c>
      <c r="BX1199" s="2" t="s">
        <v>1380</v>
      </c>
    </row>
    <row r="1200" spans="1:76" s="81" customFormat="1" x14ac:dyDescent="0.25">
      <c r="A1200" s="110"/>
      <c r="B1200" s="95"/>
      <c r="C1200" s="95"/>
      <c r="D1200" s="76" t="s">
        <v>1381</v>
      </c>
      <c r="E1200" s="76" t="s">
        <v>54</v>
      </c>
      <c r="F1200" s="95"/>
      <c r="G1200" s="96">
        <v>1049.59069</v>
      </c>
      <c r="H1200" s="97"/>
      <c r="I1200" s="95"/>
      <c r="J1200" s="95"/>
      <c r="K1200" s="95"/>
      <c r="L1200" s="95"/>
      <c r="M1200" s="95"/>
      <c r="N1200" s="95"/>
      <c r="O1200" s="95"/>
      <c r="P1200" s="95"/>
    </row>
    <row r="1201" spans="1:76" s="81" customFormat="1" x14ac:dyDescent="0.25">
      <c r="A1201" s="110"/>
      <c r="B1201" s="95"/>
      <c r="C1201" s="95"/>
      <c r="D1201" s="76" t="s">
        <v>1382</v>
      </c>
      <c r="E1201" s="76" t="s">
        <v>54</v>
      </c>
      <c r="F1201" s="95"/>
      <c r="G1201" s="96">
        <v>157.43860000000001</v>
      </c>
      <c r="H1201" s="97"/>
      <c r="I1201" s="95"/>
      <c r="J1201" s="95"/>
      <c r="K1201" s="95"/>
      <c r="L1201" s="95"/>
      <c r="M1201" s="95"/>
      <c r="N1201" s="95"/>
      <c r="O1201" s="95"/>
      <c r="P1201" s="95"/>
    </row>
    <row r="1202" spans="1:76" s="81" customFormat="1" ht="25.5" x14ac:dyDescent="0.25">
      <c r="A1202" s="66" t="s">
        <v>1386</v>
      </c>
      <c r="B1202" s="72" t="s">
        <v>55</v>
      </c>
      <c r="C1202" s="72" t="s">
        <v>1384</v>
      </c>
      <c r="D1202" s="174" t="s">
        <v>1385</v>
      </c>
      <c r="E1202" s="174"/>
      <c r="F1202" s="72" t="s">
        <v>192</v>
      </c>
      <c r="G1202" s="90">
        <v>1207.0292899999999</v>
      </c>
      <c r="H1202" s="91"/>
      <c r="I1202" s="92" t="s">
        <v>63</v>
      </c>
      <c r="J1202" s="90">
        <f>G1202*AO1202</f>
        <v>0</v>
      </c>
      <c r="K1202" s="90">
        <f>G1202*AP1202</f>
        <v>0</v>
      </c>
      <c r="L1202" s="90">
        <f>G1202*H1202</f>
        <v>0</v>
      </c>
      <c r="M1202" s="90">
        <f>L1202*(1+BW1202/100)</f>
        <v>0</v>
      </c>
      <c r="N1202" s="90">
        <v>5.4999999999999997E-3</v>
      </c>
      <c r="O1202" s="90">
        <f>G1202*N1202</f>
        <v>6.6386610949999989</v>
      </c>
      <c r="P1202" s="92" t="s">
        <v>64</v>
      </c>
      <c r="Z1202" s="93">
        <f>IF(AQ1202="5",BJ1202,0)</f>
        <v>0</v>
      </c>
      <c r="AB1202" s="93">
        <f>IF(AQ1202="1",BH1202,0)</f>
        <v>0</v>
      </c>
      <c r="AC1202" s="93">
        <f>IF(AQ1202="1",BI1202,0)</f>
        <v>0</v>
      </c>
      <c r="AD1202" s="93">
        <f>IF(AQ1202="7",BH1202,0)</f>
        <v>0</v>
      </c>
      <c r="AE1202" s="93">
        <f>IF(AQ1202="7",BI1202,0)</f>
        <v>0</v>
      </c>
      <c r="AF1202" s="93">
        <f>IF(AQ1202="2",BH1202,0)</f>
        <v>0</v>
      </c>
      <c r="AG1202" s="93">
        <f>IF(AQ1202="2",BI1202,0)</f>
        <v>0</v>
      </c>
      <c r="AH1202" s="93">
        <f>IF(AQ1202="0",BJ1202,0)</f>
        <v>0</v>
      </c>
      <c r="AI1202" s="88" t="s">
        <v>55</v>
      </c>
      <c r="AJ1202" s="93">
        <f>IF(AN1202=0,L1202,0)</f>
        <v>0</v>
      </c>
      <c r="AK1202" s="93">
        <f>IF(AN1202=12,L1202,0)</f>
        <v>0</v>
      </c>
      <c r="AL1202" s="93">
        <f>IF(AN1202=21,L1202,0)</f>
        <v>0</v>
      </c>
      <c r="AN1202" s="93">
        <v>21</v>
      </c>
      <c r="AO1202" s="93">
        <f>H1202*1</f>
        <v>0</v>
      </c>
      <c r="AP1202" s="93">
        <f>H1202*(1-1)</f>
        <v>0</v>
      </c>
      <c r="AQ1202" s="94" t="s">
        <v>148</v>
      </c>
      <c r="AV1202" s="93">
        <f>AW1202+AX1202</f>
        <v>0</v>
      </c>
      <c r="AW1202" s="93">
        <f>G1202*AO1202</f>
        <v>0</v>
      </c>
      <c r="AX1202" s="93">
        <f>G1202*AP1202</f>
        <v>0</v>
      </c>
      <c r="AY1202" s="94" t="s">
        <v>1359</v>
      </c>
      <c r="AZ1202" s="94" t="s">
        <v>1360</v>
      </c>
      <c r="BA1202" s="88" t="s">
        <v>67</v>
      </c>
      <c r="BC1202" s="93">
        <f>AW1202+AX1202</f>
        <v>0</v>
      </c>
      <c r="BD1202" s="93">
        <f>H1202/(100-BE1202)*100</f>
        <v>0</v>
      </c>
      <c r="BE1202" s="93">
        <v>0</v>
      </c>
      <c r="BF1202" s="93">
        <f>O1202</f>
        <v>6.6386610949999989</v>
      </c>
      <c r="BH1202" s="93">
        <f>G1202*AO1202</f>
        <v>0</v>
      </c>
      <c r="BI1202" s="93">
        <f>G1202*AP1202</f>
        <v>0</v>
      </c>
      <c r="BJ1202" s="93">
        <f>G1202*H1202</f>
        <v>0</v>
      </c>
      <c r="BK1202" s="93"/>
      <c r="BL1202" s="93">
        <v>711</v>
      </c>
      <c r="BW1202" s="93" t="str">
        <f>I1202</f>
        <v>21</v>
      </c>
      <c r="BX1202" s="2" t="s">
        <v>1385</v>
      </c>
    </row>
    <row r="1203" spans="1:76" s="81" customFormat="1" x14ac:dyDescent="0.25">
      <c r="A1203" s="110"/>
      <c r="B1203" s="95"/>
      <c r="C1203" s="95"/>
      <c r="D1203" s="76" t="s">
        <v>1381</v>
      </c>
      <c r="E1203" s="76" t="s">
        <v>54</v>
      </c>
      <c r="F1203" s="95"/>
      <c r="G1203" s="96">
        <v>1049.59069</v>
      </c>
      <c r="H1203" s="97"/>
      <c r="I1203" s="95"/>
      <c r="J1203" s="95"/>
      <c r="K1203" s="95"/>
      <c r="L1203" s="95"/>
      <c r="M1203" s="95"/>
      <c r="N1203" s="95"/>
      <c r="O1203" s="95"/>
      <c r="P1203" s="95"/>
    </row>
    <row r="1204" spans="1:76" s="81" customFormat="1" x14ac:dyDescent="0.25">
      <c r="A1204" s="110"/>
      <c r="B1204" s="95"/>
      <c r="C1204" s="95"/>
      <c r="D1204" s="76" t="s">
        <v>1382</v>
      </c>
      <c r="E1204" s="76" t="s">
        <v>54</v>
      </c>
      <c r="F1204" s="95"/>
      <c r="G1204" s="96">
        <v>157.43860000000001</v>
      </c>
      <c r="H1204" s="97"/>
      <c r="I1204" s="95"/>
      <c r="J1204" s="95"/>
      <c r="K1204" s="95"/>
      <c r="L1204" s="95"/>
      <c r="M1204" s="95"/>
      <c r="N1204" s="95"/>
      <c r="O1204" s="95"/>
      <c r="P1204" s="95"/>
    </row>
    <row r="1205" spans="1:76" s="81" customFormat="1" ht="25.5" x14ac:dyDescent="0.25">
      <c r="A1205" s="66" t="s">
        <v>1404</v>
      </c>
      <c r="B1205" s="72" t="s">
        <v>55</v>
      </c>
      <c r="C1205" s="72" t="s">
        <v>1387</v>
      </c>
      <c r="D1205" s="174" t="s">
        <v>1388</v>
      </c>
      <c r="E1205" s="174"/>
      <c r="F1205" s="72" t="s">
        <v>192</v>
      </c>
      <c r="G1205" s="90">
        <v>70.878</v>
      </c>
      <c r="H1205" s="91"/>
      <c r="I1205" s="92" t="s">
        <v>63</v>
      </c>
      <c r="J1205" s="90">
        <f>G1205*AO1205</f>
        <v>0</v>
      </c>
      <c r="K1205" s="90">
        <f>G1205*AP1205</f>
        <v>0</v>
      </c>
      <c r="L1205" s="90">
        <f>G1205*H1205</f>
        <v>0</v>
      </c>
      <c r="M1205" s="90">
        <f>L1205*(1+BW1205/100)</f>
        <v>0</v>
      </c>
      <c r="N1205" s="90">
        <v>3.7799999999999999E-3</v>
      </c>
      <c r="O1205" s="90">
        <f>G1205*N1205</f>
        <v>0.26791883999999999</v>
      </c>
      <c r="P1205" s="92" t="s">
        <v>64</v>
      </c>
      <c r="Z1205" s="93">
        <f>IF(AQ1205="5",BJ1205,0)</f>
        <v>0</v>
      </c>
      <c r="AB1205" s="93">
        <f>IF(AQ1205="1",BH1205,0)</f>
        <v>0</v>
      </c>
      <c r="AC1205" s="93">
        <f>IF(AQ1205="1",BI1205,0)</f>
        <v>0</v>
      </c>
      <c r="AD1205" s="93">
        <f>IF(AQ1205="7",BH1205,0)</f>
        <v>0</v>
      </c>
      <c r="AE1205" s="93">
        <f>IF(AQ1205="7",BI1205,0)</f>
        <v>0</v>
      </c>
      <c r="AF1205" s="93">
        <f>IF(AQ1205="2",BH1205,0)</f>
        <v>0</v>
      </c>
      <c r="AG1205" s="93">
        <f>IF(AQ1205="2",BI1205,0)</f>
        <v>0</v>
      </c>
      <c r="AH1205" s="93">
        <f>IF(AQ1205="0",BJ1205,0)</f>
        <v>0</v>
      </c>
      <c r="AI1205" s="88" t="s">
        <v>55</v>
      </c>
      <c r="AJ1205" s="93">
        <f>IF(AN1205=0,L1205,0)</f>
        <v>0</v>
      </c>
      <c r="AK1205" s="93">
        <f>IF(AN1205=12,L1205,0)</f>
        <v>0</v>
      </c>
      <c r="AL1205" s="93">
        <f>IF(AN1205=21,L1205,0)</f>
        <v>0</v>
      </c>
      <c r="AN1205" s="93">
        <v>21</v>
      </c>
      <c r="AO1205" s="93">
        <f>H1205*0.694485338</f>
        <v>0</v>
      </c>
      <c r="AP1205" s="93">
        <f>H1205*(1-0.694485338)</f>
        <v>0</v>
      </c>
      <c r="AQ1205" s="94" t="s">
        <v>148</v>
      </c>
      <c r="AV1205" s="93">
        <f>AW1205+AX1205</f>
        <v>0</v>
      </c>
      <c r="AW1205" s="93">
        <f>G1205*AO1205</f>
        <v>0</v>
      </c>
      <c r="AX1205" s="93">
        <f>G1205*AP1205</f>
        <v>0</v>
      </c>
      <c r="AY1205" s="94" t="s">
        <v>1359</v>
      </c>
      <c r="AZ1205" s="94" t="s">
        <v>1360</v>
      </c>
      <c r="BA1205" s="88" t="s">
        <v>67</v>
      </c>
      <c r="BC1205" s="93">
        <f>AW1205+AX1205</f>
        <v>0</v>
      </c>
      <c r="BD1205" s="93">
        <f>H1205/(100-BE1205)*100</f>
        <v>0</v>
      </c>
      <c r="BE1205" s="93">
        <v>0</v>
      </c>
      <c r="BF1205" s="93">
        <f>O1205</f>
        <v>0.26791883999999999</v>
      </c>
      <c r="BH1205" s="93">
        <f>G1205*AO1205</f>
        <v>0</v>
      </c>
      <c r="BI1205" s="93">
        <f>G1205*AP1205</f>
        <v>0</v>
      </c>
      <c r="BJ1205" s="93">
        <f>G1205*H1205</f>
        <v>0</v>
      </c>
      <c r="BK1205" s="93"/>
      <c r="BL1205" s="93">
        <v>711</v>
      </c>
      <c r="BW1205" s="93" t="str">
        <f>I1205</f>
        <v>21</v>
      </c>
      <c r="BX1205" s="2" t="s">
        <v>1388</v>
      </c>
    </row>
    <row r="1206" spans="1:76" s="81" customFormat="1" ht="13.5" customHeight="1" x14ac:dyDescent="0.25">
      <c r="A1206" s="110"/>
      <c r="B1206" s="95"/>
      <c r="C1206" s="95"/>
      <c r="D1206" s="179" t="s">
        <v>1389</v>
      </c>
      <c r="E1206" s="179"/>
      <c r="F1206" s="179"/>
      <c r="G1206" s="179"/>
      <c r="H1206" s="179"/>
      <c r="I1206" s="179"/>
      <c r="J1206" s="179"/>
      <c r="K1206" s="179"/>
      <c r="L1206" s="179"/>
      <c r="M1206" s="179"/>
      <c r="N1206" s="179"/>
      <c r="O1206" s="179"/>
      <c r="P1206" s="179"/>
    </row>
    <row r="1207" spans="1:76" s="81" customFormat="1" x14ac:dyDescent="0.25">
      <c r="A1207" s="110"/>
      <c r="B1207" s="95"/>
      <c r="C1207" s="95"/>
      <c r="D1207" s="76" t="s">
        <v>54</v>
      </c>
      <c r="E1207" s="76" t="s">
        <v>299</v>
      </c>
      <c r="F1207" s="95"/>
      <c r="G1207" s="96">
        <v>0</v>
      </c>
      <c r="H1207" s="95"/>
      <c r="I1207" s="95"/>
      <c r="J1207" s="95"/>
      <c r="K1207" s="95"/>
      <c r="L1207" s="95"/>
      <c r="M1207" s="95"/>
      <c r="N1207" s="95"/>
      <c r="O1207" s="95"/>
      <c r="P1207" s="95"/>
    </row>
    <row r="1208" spans="1:76" s="81" customFormat="1" x14ac:dyDescent="0.25">
      <c r="A1208" s="110"/>
      <c r="B1208" s="95"/>
      <c r="C1208" s="95"/>
      <c r="D1208" s="76" t="s">
        <v>1390</v>
      </c>
      <c r="E1208" s="76" t="s">
        <v>1391</v>
      </c>
      <c r="F1208" s="95"/>
      <c r="G1208" s="96">
        <v>11.654999999999999</v>
      </c>
      <c r="H1208" s="95"/>
      <c r="I1208" s="95"/>
      <c r="J1208" s="95"/>
      <c r="K1208" s="95"/>
      <c r="L1208" s="95"/>
      <c r="M1208" s="95"/>
      <c r="N1208" s="95"/>
      <c r="O1208" s="95"/>
      <c r="P1208" s="95"/>
    </row>
    <row r="1209" spans="1:76" s="81" customFormat="1" x14ac:dyDescent="0.25">
      <c r="A1209" s="110"/>
      <c r="B1209" s="95"/>
      <c r="C1209" s="95"/>
      <c r="D1209" s="76" t="s">
        <v>1392</v>
      </c>
      <c r="E1209" s="76" t="s">
        <v>1393</v>
      </c>
      <c r="F1209" s="95"/>
      <c r="G1209" s="96">
        <v>11.74</v>
      </c>
      <c r="H1209" s="95"/>
      <c r="I1209" s="95"/>
      <c r="J1209" s="95"/>
      <c r="K1209" s="95"/>
      <c r="L1209" s="95"/>
      <c r="M1209" s="95"/>
      <c r="N1209" s="95"/>
      <c r="O1209" s="95"/>
      <c r="P1209" s="95"/>
    </row>
    <row r="1210" spans="1:76" s="81" customFormat="1" x14ac:dyDescent="0.25">
      <c r="A1210" s="110"/>
      <c r="B1210" s="95"/>
      <c r="C1210" s="95"/>
      <c r="D1210" s="76" t="s">
        <v>1394</v>
      </c>
      <c r="E1210" s="76" t="s">
        <v>1395</v>
      </c>
      <c r="F1210" s="95"/>
      <c r="G1210" s="96">
        <v>11.61</v>
      </c>
      <c r="H1210" s="95"/>
      <c r="I1210" s="95"/>
      <c r="J1210" s="95"/>
      <c r="K1210" s="95"/>
      <c r="L1210" s="95"/>
      <c r="M1210" s="95"/>
      <c r="N1210" s="95"/>
      <c r="O1210" s="95"/>
      <c r="P1210" s="95"/>
    </row>
    <row r="1211" spans="1:76" s="81" customFormat="1" x14ac:dyDescent="0.25">
      <c r="A1211" s="110"/>
      <c r="B1211" s="95"/>
      <c r="C1211" s="95"/>
      <c r="D1211" s="76" t="s">
        <v>54</v>
      </c>
      <c r="E1211" s="76" t="s">
        <v>308</v>
      </c>
      <c r="F1211" s="95"/>
      <c r="G1211" s="96">
        <v>0</v>
      </c>
      <c r="H1211" s="95"/>
      <c r="I1211" s="95"/>
      <c r="J1211" s="95"/>
      <c r="K1211" s="95"/>
      <c r="L1211" s="95"/>
      <c r="M1211" s="95"/>
      <c r="N1211" s="95"/>
      <c r="O1211" s="95"/>
      <c r="P1211" s="95"/>
    </row>
    <row r="1212" spans="1:76" s="81" customFormat="1" x14ac:dyDescent="0.25">
      <c r="A1212" s="110"/>
      <c r="B1212" s="95"/>
      <c r="C1212" s="95"/>
      <c r="D1212" s="76" t="s">
        <v>1396</v>
      </c>
      <c r="E1212" s="76" t="s">
        <v>1397</v>
      </c>
      <c r="F1212" s="95"/>
      <c r="G1212" s="96">
        <v>8.9420000000000002</v>
      </c>
      <c r="H1212" s="95"/>
      <c r="I1212" s="95"/>
      <c r="J1212" s="95"/>
      <c r="K1212" s="95"/>
      <c r="L1212" s="95"/>
      <c r="M1212" s="95"/>
      <c r="N1212" s="95"/>
      <c r="O1212" s="95"/>
      <c r="P1212" s="95"/>
    </row>
    <row r="1213" spans="1:76" s="81" customFormat="1" x14ac:dyDescent="0.25">
      <c r="A1213" s="110"/>
      <c r="B1213" s="95"/>
      <c r="C1213" s="95"/>
      <c r="D1213" s="76" t="s">
        <v>1398</v>
      </c>
      <c r="E1213" s="76" t="s">
        <v>1399</v>
      </c>
      <c r="F1213" s="95"/>
      <c r="G1213" s="96">
        <v>8.6419999999999995</v>
      </c>
      <c r="H1213" s="95"/>
      <c r="I1213" s="95"/>
      <c r="J1213" s="95"/>
      <c r="K1213" s="95"/>
      <c r="L1213" s="95"/>
      <c r="M1213" s="95"/>
      <c r="N1213" s="95"/>
      <c r="O1213" s="95"/>
      <c r="P1213" s="95"/>
    </row>
    <row r="1214" spans="1:76" s="81" customFormat="1" x14ac:dyDescent="0.25">
      <c r="A1214" s="110"/>
      <c r="B1214" s="95"/>
      <c r="C1214" s="95"/>
      <c r="D1214" s="76" t="s">
        <v>1400</v>
      </c>
      <c r="E1214" s="76" t="s">
        <v>1401</v>
      </c>
      <c r="F1214" s="95"/>
      <c r="G1214" s="96">
        <v>8.15</v>
      </c>
      <c r="H1214" s="95"/>
      <c r="I1214" s="95"/>
      <c r="J1214" s="95"/>
      <c r="K1214" s="95"/>
      <c r="L1214" s="95"/>
      <c r="M1214" s="95"/>
      <c r="N1214" s="95"/>
      <c r="O1214" s="95"/>
      <c r="P1214" s="95"/>
    </row>
    <row r="1215" spans="1:76" s="81" customFormat="1" x14ac:dyDescent="0.25">
      <c r="A1215" s="110"/>
      <c r="B1215" s="95"/>
      <c r="C1215" s="95"/>
      <c r="D1215" s="76" t="s">
        <v>1402</v>
      </c>
      <c r="E1215" s="76" t="s">
        <v>1403</v>
      </c>
      <c r="F1215" s="95"/>
      <c r="G1215" s="96">
        <v>10.138999999999999</v>
      </c>
      <c r="H1215" s="95"/>
      <c r="I1215" s="95"/>
      <c r="J1215" s="95"/>
      <c r="K1215" s="95"/>
      <c r="L1215" s="95"/>
      <c r="M1215" s="95"/>
      <c r="N1215" s="95"/>
      <c r="O1215" s="95"/>
      <c r="P1215" s="95"/>
    </row>
    <row r="1216" spans="1:76" s="81" customFormat="1" ht="25.5" x14ac:dyDescent="0.25">
      <c r="A1216" s="66" t="s">
        <v>1413</v>
      </c>
      <c r="B1216" s="72" t="s">
        <v>55</v>
      </c>
      <c r="C1216" s="72" t="s">
        <v>1405</v>
      </c>
      <c r="D1216" s="174" t="s">
        <v>1406</v>
      </c>
      <c r="E1216" s="174"/>
      <c r="F1216" s="72" t="s">
        <v>192</v>
      </c>
      <c r="G1216" s="90">
        <v>873.64137000000005</v>
      </c>
      <c r="H1216" s="91"/>
      <c r="I1216" s="92" t="s">
        <v>63</v>
      </c>
      <c r="J1216" s="90">
        <f>G1216*AO1216</f>
        <v>0</v>
      </c>
      <c r="K1216" s="90">
        <f>G1216*AP1216</f>
        <v>0</v>
      </c>
      <c r="L1216" s="90">
        <f>G1216*H1216</f>
        <v>0</v>
      </c>
      <c r="M1216" s="90">
        <f>L1216*(1+BW1216/100)</f>
        <v>0</v>
      </c>
      <c r="N1216" s="90">
        <v>1.7000000000000001E-4</v>
      </c>
      <c r="O1216" s="90">
        <f>G1216*N1216</f>
        <v>0.14851903290000001</v>
      </c>
      <c r="P1216" s="92" t="s">
        <v>371</v>
      </c>
      <c r="Z1216" s="93">
        <f>IF(AQ1216="5",BJ1216,0)</f>
        <v>0</v>
      </c>
      <c r="AB1216" s="93">
        <f>IF(AQ1216="1",BH1216,0)</f>
        <v>0</v>
      </c>
      <c r="AC1216" s="93">
        <f>IF(AQ1216="1",BI1216,0)</f>
        <v>0</v>
      </c>
      <c r="AD1216" s="93">
        <f>IF(AQ1216="7",BH1216,0)</f>
        <v>0</v>
      </c>
      <c r="AE1216" s="93">
        <f>IF(AQ1216="7",BI1216,0)</f>
        <v>0</v>
      </c>
      <c r="AF1216" s="93">
        <f>IF(AQ1216="2",BH1216,0)</f>
        <v>0</v>
      </c>
      <c r="AG1216" s="93">
        <f>IF(AQ1216="2",BI1216,0)</f>
        <v>0</v>
      </c>
      <c r="AH1216" s="93">
        <f>IF(AQ1216="0",BJ1216,0)</f>
        <v>0</v>
      </c>
      <c r="AI1216" s="88" t="s">
        <v>55</v>
      </c>
      <c r="AJ1216" s="93">
        <f>IF(AN1216=0,L1216,0)</f>
        <v>0</v>
      </c>
      <c r="AK1216" s="93">
        <f>IF(AN1216=12,L1216,0)</f>
        <v>0</v>
      </c>
      <c r="AL1216" s="93">
        <f>IF(AN1216=21,L1216,0)</f>
        <v>0</v>
      </c>
      <c r="AN1216" s="93">
        <v>21</v>
      </c>
      <c r="AO1216" s="93">
        <f>H1216*0.819395575</f>
        <v>0</v>
      </c>
      <c r="AP1216" s="93">
        <f>H1216*(1-0.819395575)</f>
        <v>0</v>
      </c>
      <c r="AQ1216" s="94" t="s">
        <v>148</v>
      </c>
      <c r="AV1216" s="93">
        <f>AW1216+AX1216</f>
        <v>0</v>
      </c>
      <c r="AW1216" s="93">
        <f>G1216*AO1216</f>
        <v>0</v>
      </c>
      <c r="AX1216" s="93">
        <f>G1216*AP1216</f>
        <v>0</v>
      </c>
      <c r="AY1216" s="94" t="s">
        <v>1359</v>
      </c>
      <c r="AZ1216" s="94" t="s">
        <v>1360</v>
      </c>
      <c r="BA1216" s="88" t="s">
        <v>67</v>
      </c>
      <c r="BC1216" s="93">
        <f>AW1216+AX1216</f>
        <v>0</v>
      </c>
      <c r="BD1216" s="93">
        <f>H1216/(100-BE1216)*100</f>
        <v>0</v>
      </c>
      <c r="BE1216" s="93">
        <v>0</v>
      </c>
      <c r="BF1216" s="93">
        <f>O1216</f>
        <v>0.14851903290000001</v>
      </c>
      <c r="BH1216" s="93">
        <f>G1216*AO1216</f>
        <v>0</v>
      </c>
      <c r="BI1216" s="93">
        <f>G1216*AP1216</f>
        <v>0</v>
      </c>
      <c r="BJ1216" s="93">
        <f>G1216*H1216</f>
        <v>0</v>
      </c>
      <c r="BK1216" s="93"/>
      <c r="BL1216" s="93">
        <v>711</v>
      </c>
      <c r="BW1216" s="93" t="str">
        <f>I1216</f>
        <v>21</v>
      </c>
      <c r="BX1216" s="2" t="s">
        <v>1406</v>
      </c>
    </row>
    <row r="1217" spans="1:76" s="81" customFormat="1" ht="13.5" customHeight="1" x14ac:dyDescent="0.25">
      <c r="A1217" s="110"/>
      <c r="B1217" s="95"/>
      <c r="C1217" s="95"/>
      <c r="D1217" s="179" t="s">
        <v>1407</v>
      </c>
      <c r="E1217" s="179"/>
      <c r="F1217" s="179"/>
      <c r="G1217" s="179"/>
      <c r="H1217" s="179"/>
      <c r="I1217" s="179"/>
      <c r="J1217" s="179"/>
      <c r="K1217" s="179"/>
      <c r="L1217" s="179"/>
      <c r="M1217" s="179"/>
      <c r="N1217" s="179"/>
      <c r="O1217" s="179"/>
      <c r="P1217" s="179"/>
    </row>
    <row r="1218" spans="1:76" s="81" customFormat="1" x14ac:dyDescent="0.25">
      <c r="A1218" s="110"/>
      <c r="B1218" s="95"/>
      <c r="C1218" s="95"/>
      <c r="D1218" s="76" t="s">
        <v>54</v>
      </c>
      <c r="E1218" s="76" t="s">
        <v>831</v>
      </c>
      <c r="F1218" s="95"/>
      <c r="G1218" s="96">
        <v>0</v>
      </c>
      <c r="H1218" s="95"/>
      <c r="I1218" s="95"/>
      <c r="J1218" s="95"/>
      <c r="K1218" s="95"/>
      <c r="L1218" s="95"/>
      <c r="M1218" s="95"/>
      <c r="N1218" s="95"/>
      <c r="O1218" s="95"/>
      <c r="P1218" s="95"/>
    </row>
    <row r="1219" spans="1:76" s="81" customFormat="1" x14ac:dyDescent="0.25">
      <c r="A1219" s="110"/>
      <c r="B1219" s="95"/>
      <c r="C1219" s="95"/>
      <c r="D1219" s="76" t="s">
        <v>54</v>
      </c>
      <c r="E1219" s="76" t="s">
        <v>832</v>
      </c>
      <c r="F1219" s="95"/>
      <c r="G1219" s="96">
        <v>0</v>
      </c>
      <c r="H1219" s="95"/>
      <c r="I1219" s="95"/>
      <c r="J1219" s="95"/>
      <c r="K1219" s="95"/>
      <c r="L1219" s="95"/>
      <c r="M1219" s="95"/>
      <c r="N1219" s="95"/>
      <c r="O1219" s="95"/>
      <c r="P1219" s="95"/>
    </row>
    <row r="1220" spans="1:76" s="81" customFormat="1" x14ac:dyDescent="0.25">
      <c r="A1220" s="110"/>
      <c r="B1220" s="95"/>
      <c r="C1220" s="95"/>
      <c r="D1220" s="76" t="s">
        <v>1408</v>
      </c>
      <c r="E1220" s="76" t="s">
        <v>841</v>
      </c>
      <c r="F1220" s="95"/>
      <c r="G1220" s="96">
        <v>42.173999999999999</v>
      </c>
      <c r="H1220" s="95"/>
      <c r="I1220" s="95"/>
      <c r="J1220" s="95"/>
      <c r="K1220" s="95"/>
      <c r="L1220" s="95"/>
      <c r="M1220" s="95"/>
      <c r="N1220" s="95"/>
      <c r="O1220" s="95"/>
      <c r="P1220" s="95"/>
    </row>
    <row r="1221" spans="1:76" s="81" customFormat="1" x14ac:dyDescent="0.25">
      <c r="A1221" s="110"/>
      <c r="B1221" s="95"/>
      <c r="C1221" s="95"/>
      <c r="D1221" s="76" t="s">
        <v>1409</v>
      </c>
      <c r="E1221" s="76" t="s">
        <v>843</v>
      </c>
      <c r="F1221" s="95"/>
      <c r="G1221" s="96">
        <v>13.88</v>
      </c>
      <c r="H1221" s="95"/>
      <c r="I1221" s="95"/>
      <c r="J1221" s="95"/>
      <c r="K1221" s="95"/>
      <c r="L1221" s="95"/>
      <c r="M1221" s="95"/>
      <c r="N1221" s="95"/>
      <c r="O1221" s="95"/>
      <c r="P1221" s="95"/>
    </row>
    <row r="1222" spans="1:76" s="81" customFormat="1" x14ac:dyDescent="0.25">
      <c r="A1222" s="110"/>
      <c r="B1222" s="95"/>
      <c r="C1222" s="95"/>
      <c r="D1222" s="76" t="s">
        <v>1410</v>
      </c>
      <c r="E1222" s="76" t="s">
        <v>834</v>
      </c>
      <c r="F1222" s="95"/>
      <c r="G1222" s="96">
        <v>40.29</v>
      </c>
      <c r="H1222" s="95"/>
      <c r="I1222" s="95"/>
      <c r="J1222" s="95"/>
      <c r="K1222" s="95"/>
      <c r="L1222" s="95"/>
      <c r="M1222" s="95"/>
      <c r="N1222" s="95"/>
      <c r="O1222" s="95"/>
      <c r="P1222" s="95"/>
    </row>
    <row r="1223" spans="1:76" s="81" customFormat="1" x14ac:dyDescent="0.25">
      <c r="A1223" s="110"/>
      <c r="B1223" s="95"/>
      <c r="C1223" s="95"/>
      <c r="D1223" s="76" t="s">
        <v>54</v>
      </c>
      <c r="E1223" s="76" t="s">
        <v>835</v>
      </c>
      <c r="F1223" s="95"/>
      <c r="G1223" s="96">
        <v>0</v>
      </c>
      <c r="H1223" s="95"/>
      <c r="I1223" s="95"/>
      <c r="J1223" s="95"/>
      <c r="K1223" s="95"/>
      <c r="L1223" s="95"/>
      <c r="M1223" s="95"/>
      <c r="N1223" s="95"/>
      <c r="O1223" s="95"/>
      <c r="P1223" s="95"/>
    </row>
    <row r="1224" spans="1:76" s="81" customFormat="1" x14ac:dyDescent="0.25">
      <c r="A1224" s="110"/>
      <c r="B1224" s="95"/>
      <c r="C1224" s="95"/>
      <c r="D1224" s="76" t="s">
        <v>1411</v>
      </c>
      <c r="E1224" s="76" t="s">
        <v>54</v>
      </c>
      <c r="F1224" s="95"/>
      <c r="G1224" s="96">
        <v>510.66300000000001</v>
      </c>
      <c r="H1224" s="95"/>
      <c r="I1224" s="95"/>
      <c r="J1224" s="95"/>
      <c r="K1224" s="95"/>
      <c r="L1224" s="95"/>
      <c r="M1224" s="95"/>
      <c r="N1224" s="95"/>
      <c r="O1224" s="95"/>
      <c r="P1224" s="95"/>
    </row>
    <row r="1225" spans="1:76" s="81" customFormat="1" x14ac:dyDescent="0.25">
      <c r="A1225" s="110"/>
      <c r="B1225" s="95"/>
      <c r="C1225" s="95"/>
      <c r="D1225" s="76" t="s">
        <v>54</v>
      </c>
      <c r="E1225" s="76" t="s">
        <v>837</v>
      </c>
      <c r="F1225" s="95"/>
      <c r="G1225" s="96">
        <v>0</v>
      </c>
      <c r="H1225" s="95"/>
      <c r="I1225" s="95"/>
      <c r="J1225" s="95"/>
      <c r="K1225" s="95"/>
      <c r="L1225" s="95"/>
      <c r="M1225" s="95"/>
      <c r="N1225" s="95"/>
      <c r="O1225" s="95"/>
      <c r="P1225" s="95"/>
    </row>
    <row r="1226" spans="1:76" s="81" customFormat="1" x14ac:dyDescent="0.25">
      <c r="A1226" s="110"/>
      <c r="B1226" s="95"/>
      <c r="C1226" s="95"/>
      <c r="D1226" s="76" t="s">
        <v>54</v>
      </c>
      <c r="E1226" s="76" t="s">
        <v>443</v>
      </c>
      <c r="F1226" s="95"/>
      <c r="G1226" s="96">
        <v>0</v>
      </c>
      <c r="H1226" s="95"/>
      <c r="I1226" s="95"/>
      <c r="J1226" s="95"/>
      <c r="K1226" s="95"/>
      <c r="L1226" s="95"/>
      <c r="M1226" s="95"/>
      <c r="N1226" s="95"/>
      <c r="O1226" s="95"/>
      <c r="P1226" s="95"/>
    </row>
    <row r="1227" spans="1:76" s="81" customFormat="1" x14ac:dyDescent="0.25">
      <c r="A1227" s="110"/>
      <c r="B1227" s="95"/>
      <c r="C1227" s="95"/>
      <c r="D1227" s="76" t="s">
        <v>1412</v>
      </c>
      <c r="E1227" s="76" t="s">
        <v>839</v>
      </c>
      <c r="F1227" s="95"/>
      <c r="G1227" s="96">
        <v>266.63436999999999</v>
      </c>
      <c r="H1227" s="97"/>
      <c r="I1227" s="95"/>
      <c r="J1227" s="95"/>
      <c r="K1227" s="95"/>
      <c r="L1227" s="95"/>
      <c r="M1227" s="95"/>
      <c r="N1227" s="95"/>
      <c r="O1227" s="95"/>
      <c r="P1227" s="95"/>
    </row>
    <row r="1228" spans="1:76" s="81" customFormat="1" ht="25.5" x14ac:dyDescent="0.25">
      <c r="A1228" s="66" t="s">
        <v>1416</v>
      </c>
      <c r="B1228" s="72" t="s">
        <v>55</v>
      </c>
      <c r="C1228" s="72" t="s">
        <v>1414</v>
      </c>
      <c r="D1228" s="174" t="s">
        <v>1415</v>
      </c>
      <c r="E1228" s="174"/>
      <c r="F1228" s="72" t="s">
        <v>192</v>
      </c>
      <c r="G1228" s="90">
        <v>873.64137000000005</v>
      </c>
      <c r="H1228" s="91"/>
      <c r="I1228" s="92" t="s">
        <v>63</v>
      </c>
      <c r="J1228" s="90">
        <f>G1228*AO1228</f>
        <v>0</v>
      </c>
      <c r="K1228" s="90">
        <f>G1228*AP1228</f>
        <v>0</v>
      </c>
      <c r="L1228" s="90">
        <f>G1228*H1228</f>
        <v>0</v>
      </c>
      <c r="M1228" s="90">
        <f>L1228*(1+BW1228/100)</f>
        <v>0</v>
      </c>
      <c r="N1228" s="90">
        <v>0</v>
      </c>
      <c r="O1228" s="90">
        <f>G1228*N1228</f>
        <v>0</v>
      </c>
      <c r="P1228" s="92" t="s">
        <v>64</v>
      </c>
      <c r="Z1228" s="93">
        <f>IF(AQ1228="5",BJ1228,0)</f>
        <v>0</v>
      </c>
      <c r="AB1228" s="93">
        <f>IF(AQ1228="1",BH1228,0)</f>
        <v>0</v>
      </c>
      <c r="AC1228" s="93">
        <f>IF(AQ1228="1",BI1228,0)</f>
        <v>0</v>
      </c>
      <c r="AD1228" s="93">
        <f>IF(AQ1228="7",BH1228,0)</f>
        <v>0</v>
      </c>
      <c r="AE1228" s="93">
        <f>IF(AQ1228="7",BI1228,0)</f>
        <v>0</v>
      </c>
      <c r="AF1228" s="93">
        <f>IF(AQ1228="2",BH1228,0)</f>
        <v>0</v>
      </c>
      <c r="AG1228" s="93">
        <f>IF(AQ1228="2",BI1228,0)</f>
        <v>0</v>
      </c>
      <c r="AH1228" s="93">
        <f>IF(AQ1228="0",BJ1228,0)</f>
        <v>0</v>
      </c>
      <c r="AI1228" s="88" t="s">
        <v>55</v>
      </c>
      <c r="AJ1228" s="93">
        <f>IF(AN1228=0,L1228,0)</f>
        <v>0</v>
      </c>
      <c r="AK1228" s="93">
        <f>IF(AN1228=12,L1228,0)</f>
        <v>0</v>
      </c>
      <c r="AL1228" s="93">
        <f>IF(AN1228=21,L1228,0)</f>
        <v>0</v>
      </c>
      <c r="AN1228" s="93">
        <v>21</v>
      </c>
      <c r="AO1228" s="93">
        <f>H1228*0</f>
        <v>0</v>
      </c>
      <c r="AP1228" s="93">
        <f>H1228*(1-0)</f>
        <v>0</v>
      </c>
      <c r="AQ1228" s="94" t="s">
        <v>148</v>
      </c>
      <c r="AV1228" s="93">
        <f>AW1228+AX1228</f>
        <v>0</v>
      </c>
      <c r="AW1228" s="93">
        <f>G1228*AO1228</f>
        <v>0</v>
      </c>
      <c r="AX1228" s="93">
        <f>G1228*AP1228</f>
        <v>0</v>
      </c>
      <c r="AY1228" s="94" t="s">
        <v>1359</v>
      </c>
      <c r="AZ1228" s="94" t="s">
        <v>1360</v>
      </c>
      <c r="BA1228" s="88" t="s">
        <v>67</v>
      </c>
      <c r="BC1228" s="93">
        <f>AW1228+AX1228</f>
        <v>0</v>
      </c>
      <c r="BD1228" s="93">
        <f>H1228/(100-BE1228)*100</f>
        <v>0</v>
      </c>
      <c r="BE1228" s="93">
        <v>0</v>
      </c>
      <c r="BF1228" s="93">
        <f>O1228</f>
        <v>0</v>
      </c>
      <c r="BH1228" s="93">
        <f>G1228*AO1228</f>
        <v>0</v>
      </c>
      <c r="BI1228" s="93">
        <f>G1228*AP1228</f>
        <v>0</v>
      </c>
      <c r="BJ1228" s="93">
        <f>G1228*H1228</f>
        <v>0</v>
      </c>
      <c r="BK1228" s="93"/>
      <c r="BL1228" s="93">
        <v>711</v>
      </c>
      <c r="BW1228" s="93" t="str">
        <f>I1228</f>
        <v>21</v>
      </c>
      <c r="BX1228" s="2" t="s">
        <v>1415</v>
      </c>
    </row>
    <row r="1229" spans="1:76" s="81" customFormat="1" x14ac:dyDescent="0.25">
      <c r="A1229" s="110"/>
      <c r="B1229" s="95"/>
      <c r="C1229" s="95"/>
      <c r="D1229" s="76" t="s">
        <v>54</v>
      </c>
      <c r="E1229" s="76" t="s">
        <v>831</v>
      </c>
      <c r="F1229" s="95"/>
      <c r="G1229" s="96">
        <v>0</v>
      </c>
      <c r="H1229" s="97"/>
      <c r="I1229" s="95"/>
      <c r="J1229" s="95"/>
      <c r="K1229" s="95"/>
      <c r="L1229" s="95"/>
      <c r="M1229" s="95"/>
      <c r="N1229" s="95"/>
      <c r="O1229" s="95"/>
      <c r="P1229" s="95"/>
    </row>
    <row r="1230" spans="1:76" s="81" customFormat="1" x14ac:dyDescent="0.25">
      <c r="A1230" s="110"/>
      <c r="B1230" s="95"/>
      <c r="C1230" s="95"/>
      <c r="D1230" s="76" t="s">
        <v>54</v>
      </c>
      <c r="E1230" s="76" t="s">
        <v>832</v>
      </c>
      <c r="F1230" s="95"/>
      <c r="G1230" s="96">
        <v>0</v>
      </c>
      <c r="H1230" s="97"/>
      <c r="I1230" s="95"/>
      <c r="J1230" s="95"/>
      <c r="K1230" s="95"/>
      <c r="L1230" s="95"/>
      <c r="M1230" s="95"/>
      <c r="N1230" s="95"/>
      <c r="O1230" s="95"/>
      <c r="P1230" s="95"/>
    </row>
    <row r="1231" spans="1:76" s="81" customFormat="1" x14ac:dyDescent="0.25">
      <c r="A1231" s="110"/>
      <c r="B1231" s="95"/>
      <c r="C1231" s="95"/>
      <c r="D1231" s="76" t="s">
        <v>1408</v>
      </c>
      <c r="E1231" s="76" t="s">
        <v>841</v>
      </c>
      <c r="F1231" s="95"/>
      <c r="G1231" s="96">
        <v>42.173999999999999</v>
      </c>
      <c r="H1231" s="97"/>
      <c r="I1231" s="95"/>
      <c r="J1231" s="95"/>
      <c r="K1231" s="95"/>
      <c r="L1231" s="95"/>
      <c r="M1231" s="95"/>
      <c r="N1231" s="95"/>
      <c r="O1231" s="95"/>
      <c r="P1231" s="95"/>
    </row>
    <row r="1232" spans="1:76" s="81" customFormat="1" x14ac:dyDescent="0.25">
      <c r="A1232" s="110"/>
      <c r="B1232" s="95"/>
      <c r="C1232" s="95"/>
      <c r="D1232" s="76" t="s">
        <v>1409</v>
      </c>
      <c r="E1232" s="76" t="s">
        <v>843</v>
      </c>
      <c r="F1232" s="95"/>
      <c r="G1232" s="96">
        <v>13.88</v>
      </c>
      <c r="H1232" s="97"/>
      <c r="I1232" s="95"/>
      <c r="J1232" s="95"/>
      <c r="K1232" s="95"/>
      <c r="L1232" s="95"/>
      <c r="M1232" s="95"/>
      <c r="N1232" s="95"/>
      <c r="O1232" s="95"/>
      <c r="P1232" s="95"/>
    </row>
    <row r="1233" spans="1:76" s="81" customFormat="1" x14ac:dyDescent="0.25">
      <c r="A1233" s="110"/>
      <c r="B1233" s="95"/>
      <c r="C1233" s="95"/>
      <c r="D1233" s="76" t="s">
        <v>1410</v>
      </c>
      <c r="E1233" s="76" t="s">
        <v>834</v>
      </c>
      <c r="F1233" s="95"/>
      <c r="G1233" s="96">
        <v>40.29</v>
      </c>
      <c r="H1233" s="97"/>
      <c r="I1233" s="95"/>
      <c r="J1233" s="95"/>
      <c r="K1233" s="95"/>
      <c r="L1233" s="95"/>
      <c r="M1233" s="95"/>
      <c r="N1233" s="95"/>
      <c r="O1233" s="95"/>
      <c r="P1233" s="95"/>
    </row>
    <row r="1234" spans="1:76" s="81" customFormat="1" x14ac:dyDescent="0.25">
      <c r="A1234" s="110"/>
      <c r="B1234" s="95"/>
      <c r="C1234" s="95"/>
      <c r="D1234" s="76" t="s">
        <v>54</v>
      </c>
      <c r="E1234" s="76" t="s">
        <v>835</v>
      </c>
      <c r="F1234" s="95"/>
      <c r="G1234" s="96">
        <v>0</v>
      </c>
      <c r="H1234" s="97"/>
      <c r="I1234" s="95"/>
      <c r="J1234" s="95"/>
      <c r="K1234" s="95"/>
      <c r="L1234" s="95"/>
      <c r="M1234" s="95"/>
      <c r="N1234" s="95"/>
      <c r="O1234" s="95"/>
      <c r="P1234" s="95"/>
    </row>
    <row r="1235" spans="1:76" s="81" customFormat="1" x14ac:dyDescent="0.25">
      <c r="A1235" s="110"/>
      <c r="B1235" s="95"/>
      <c r="C1235" s="95"/>
      <c r="D1235" s="76" t="s">
        <v>1411</v>
      </c>
      <c r="E1235" s="76" t="s">
        <v>54</v>
      </c>
      <c r="F1235" s="95"/>
      <c r="G1235" s="96">
        <v>510.66300000000001</v>
      </c>
      <c r="H1235" s="97"/>
      <c r="I1235" s="95"/>
      <c r="J1235" s="95"/>
      <c r="K1235" s="95"/>
      <c r="L1235" s="95"/>
      <c r="M1235" s="95"/>
      <c r="N1235" s="95"/>
      <c r="O1235" s="95"/>
      <c r="P1235" s="95"/>
    </row>
    <row r="1236" spans="1:76" s="81" customFormat="1" x14ac:dyDescent="0.25">
      <c r="A1236" s="110"/>
      <c r="B1236" s="95"/>
      <c r="C1236" s="95"/>
      <c r="D1236" s="76" t="s">
        <v>54</v>
      </c>
      <c r="E1236" s="76" t="s">
        <v>837</v>
      </c>
      <c r="F1236" s="95"/>
      <c r="G1236" s="96">
        <v>0</v>
      </c>
      <c r="H1236" s="97"/>
      <c r="I1236" s="95"/>
      <c r="J1236" s="95"/>
      <c r="K1236" s="95"/>
      <c r="L1236" s="95"/>
      <c r="M1236" s="95"/>
      <c r="N1236" s="95"/>
      <c r="O1236" s="95"/>
      <c r="P1236" s="95"/>
    </row>
    <row r="1237" spans="1:76" s="81" customFormat="1" x14ac:dyDescent="0.25">
      <c r="A1237" s="110"/>
      <c r="B1237" s="95"/>
      <c r="C1237" s="95"/>
      <c r="D1237" s="76" t="s">
        <v>54</v>
      </c>
      <c r="E1237" s="76" t="s">
        <v>443</v>
      </c>
      <c r="F1237" s="95"/>
      <c r="G1237" s="96">
        <v>0</v>
      </c>
      <c r="H1237" s="97"/>
      <c r="I1237" s="95"/>
      <c r="J1237" s="95"/>
      <c r="K1237" s="95"/>
      <c r="L1237" s="95"/>
      <c r="M1237" s="95"/>
      <c r="N1237" s="95"/>
      <c r="O1237" s="95"/>
      <c r="P1237" s="95"/>
    </row>
    <row r="1238" spans="1:76" s="81" customFormat="1" x14ac:dyDescent="0.25">
      <c r="A1238" s="110"/>
      <c r="B1238" s="95"/>
      <c r="C1238" s="95"/>
      <c r="D1238" s="76" t="s">
        <v>1412</v>
      </c>
      <c r="E1238" s="76" t="s">
        <v>839</v>
      </c>
      <c r="F1238" s="95"/>
      <c r="G1238" s="96">
        <v>266.63436999999999</v>
      </c>
      <c r="H1238" s="97"/>
      <c r="I1238" s="95"/>
      <c r="J1238" s="95"/>
      <c r="K1238" s="95"/>
      <c r="L1238" s="95"/>
      <c r="M1238" s="95"/>
      <c r="N1238" s="95"/>
      <c r="O1238" s="95"/>
      <c r="P1238" s="95"/>
    </row>
    <row r="1239" spans="1:76" s="81" customFormat="1" ht="25.5" x14ac:dyDescent="0.25">
      <c r="A1239" s="66" t="s">
        <v>1421</v>
      </c>
      <c r="B1239" s="72" t="s">
        <v>55</v>
      </c>
      <c r="C1239" s="72" t="s">
        <v>1417</v>
      </c>
      <c r="D1239" s="174" t="s">
        <v>1418</v>
      </c>
      <c r="E1239" s="174"/>
      <c r="F1239" s="72" t="s">
        <v>192</v>
      </c>
      <c r="G1239" s="90">
        <v>1004.68758</v>
      </c>
      <c r="H1239" s="91"/>
      <c r="I1239" s="92" t="s">
        <v>63</v>
      </c>
      <c r="J1239" s="90">
        <f>G1239*AO1239</f>
        <v>0</v>
      </c>
      <c r="K1239" s="90">
        <f>G1239*AP1239</f>
        <v>0</v>
      </c>
      <c r="L1239" s="90">
        <f>G1239*H1239</f>
        <v>0</v>
      </c>
      <c r="M1239" s="90">
        <f>L1239*(1+BW1239/100)</f>
        <v>0</v>
      </c>
      <c r="N1239" s="90">
        <v>2.1000000000000001E-4</v>
      </c>
      <c r="O1239" s="90">
        <f>G1239*N1239</f>
        <v>0.2109843918</v>
      </c>
      <c r="P1239" s="92" t="s">
        <v>578</v>
      </c>
      <c r="Z1239" s="93">
        <f>IF(AQ1239="5",BJ1239,0)</f>
        <v>0</v>
      </c>
      <c r="AB1239" s="93">
        <f>IF(AQ1239="1",BH1239,0)</f>
        <v>0</v>
      </c>
      <c r="AC1239" s="93">
        <f>IF(AQ1239="1",BI1239,0)</f>
        <v>0</v>
      </c>
      <c r="AD1239" s="93">
        <f>IF(AQ1239="7",BH1239,0)</f>
        <v>0</v>
      </c>
      <c r="AE1239" s="93">
        <f>IF(AQ1239="7",BI1239,0)</f>
        <v>0</v>
      </c>
      <c r="AF1239" s="93">
        <f>IF(AQ1239="2",BH1239,0)</f>
        <v>0</v>
      </c>
      <c r="AG1239" s="93">
        <f>IF(AQ1239="2",BI1239,0)</f>
        <v>0</v>
      </c>
      <c r="AH1239" s="93">
        <f>IF(AQ1239="0",BJ1239,0)</f>
        <v>0</v>
      </c>
      <c r="AI1239" s="88" t="s">
        <v>55</v>
      </c>
      <c r="AJ1239" s="93">
        <f>IF(AN1239=0,L1239,0)</f>
        <v>0</v>
      </c>
      <c r="AK1239" s="93">
        <f>IF(AN1239=12,L1239,0)</f>
        <v>0</v>
      </c>
      <c r="AL1239" s="93">
        <f>IF(AN1239=21,L1239,0)</f>
        <v>0</v>
      </c>
      <c r="AN1239" s="93">
        <v>21</v>
      </c>
      <c r="AO1239" s="93">
        <f>H1239*1</f>
        <v>0</v>
      </c>
      <c r="AP1239" s="93">
        <f>H1239*(1-1)</f>
        <v>0</v>
      </c>
      <c r="AQ1239" s="94" t="s">
        <v>148</v>
      </c>
      <c r="AV1239" s="93">
        <f>AW1239+AX1239</f>
        <v>0</v>
      </c>
      <c r="AW1239" s="93">
        <f>G1239*AO1239</f>
        <v>0</v>
      </c>
      <c r="AX1239" s="93">
        <f>G1239*AP1239</f>
        <v>0</v>
      </c>
      <c r="AY1239" s="94" t="s">
        <v>1359</v>
      </c>
      <c r="AZ1239" s="94" t="s">
        <v>1360</v>
      </c>
      <c r="BA1239" s="88" t="s">
        <v>67</v>
      </c>
      <c r="BC1239" s="93">
        <f>AW1239+AX1239</f>
        <v>0</v>
      </c>
      <c r="BD1239" s="93">
        <f>H1239/(100-BE1239)*100</f>
        <v>0</v>
      </c>
      <c r="BE1239" s="93">
        <v>0</v>
      </c>
      <c r="BF1239" s="93">
        <f>O1239</f>
        <v>0.2109843918</v>
      </c>
      <c r="BH1239" s="93">
        <f>G1239*AO1239</f>
        <v>0</v>
      </c>
      <c r="BI1239" s="93">
        <f>G1239*AP1239</f>
        <v>0</v>
      </c>
      <c r="BJ1239" s="93">
        <f>G1239*H1239</f>
        <v>0</v>
      </c>
      <c r="BK1239" s="93"/>
      <c r="BL1239" s="93">
        <v>711</v>
      </c>
      <c r="BW1239" s="93" t="str">
        <f>I1239</f>
        <v>21</v>
      </c>
      <c r="BX1239" s="2" t="s">
        <v>1418</v>
      </c>
    </row>
    <row r="1240" spans="1:76" s="81" customFormat="1" x14ac:dyDescent="0.25">
      <c r="A1240" s="110"/>
      <c r="B1240" s="95"/>
      <c r="C1240" s="95"/>
      <c r="D1240" s="76" t="s">
        <v>1419</v>
      </c>
      <c r="E1240" s="76" t="s">
        <v>54</v>
      </c>
      <c r="F1240" s="95"/>
      <c r="G1240" s="96">
        <v>873.64137000000005</v>
      </c>
      <c r="H1240" s="97"/>
      <c r="I1240" s="95"/>
      <c r="J1240" s="95"/>
      <c r="K1240" s="95"/>
      <c r="L1240" s="95"/>
      <c r="M1240" s="95"/>
      <c r="N1240" s="95"/>
      <c r="O1240" s="95"/>
      <c r="P1240" s="95"/>
    </row>
    <row r="1241" spans="1:76" s="81" customFormat="1" x14ac:dyDescent="0.25">
      <c r="A1241" s="110"/>
      <c r="B1241" s="95"/>
      <c r="C1241" s="95"/>
      <c r="D1241" s="76" t="s">
        <v>1420</v>
      </c>
      <c r="E1241" s="76" t="s">
        <v>54</v>
      </c>
      <c r="F1241" s="95"/>
      <c r="G1241" s="96">
        <v>131.04621</v>
      </c>
      <c r="H1241" s="97"/>
      <c r="I1241" s="95"/>
      <c r="J1241" s="95"/>
      <c r="K1241" s="95"/>
      <c r="L1241" s="95"/>
      <c r="M1241" s="95"/>
      <c r="N1241" s="95"/>
      <c r="O1241" s="95"/>
      <c r="P1241" s="95"/>
    </row>
    <row r="1242" spans="1:76" s="81" customFormat="1" ht="25.5" x14ac:dyDescent="0.25">
      <c r="A1242" s="66" t="s">
        <v>1428</v>
      </c>
      <c r="B1242" s="72" t="s">
        <v>55</v>
      </c>
      <c r="C1242" s="72" t="s">
        <v>1422</v>
      </c>
      <c r="D1242" s="174" t="s">
        <v>1423</v>
      </c>
      <c r="E1242" s="174"/>
      <c r="F1242" s="72" t="s">
        <v>192</v>
      </c>
      <c r="G1242" s="90">
        <v>510.18504999999999</v>
      </c>
      <c r="H1242" s="91"/>
      <c r="I1242" s="92" t="s">
        <v>63</v>
      </c>
      <c r="J1242" s="90">
        <f>G1242*AO1242</f>
        <v>0</v>
      </c>
      <c r="K1242" s="90">
        <f>G1242*AP1242</f>
        <v>0</v>
      </c>
      <c r="L1242" s="90">
        <f>G1242*H1242</f>
        <v>0</v>
      </c>
      <c r="M1242" s="90">
        <f>L1242*(1+BW1242/100)</f>
        <v>0</v>
      </c>
      <c r="N1242" s="90">
        <v>6.3000000000000003E-4</v>
      </c>
      <c r="O1242" s="90">
        <f>G1242*N1242</f>
        <v>0.32141658150000002</v>
      </c>
      <c r="P1242" s="92" t="s">
        <v>64</v>
      </c>
      <c r="Z1242" s="93">
        <f>IF(AQ1242="5",BJ1242,0)</f>
        <v>0</v>
      </c>
      <c r="AB1242" s="93">
        <f>IF(AQ1242="1",BH1242,0)</f>
        <v>0</v>
      </c>
      <c r="AC1242" s="93">
        <f>IF(AQ1242="1",BI1242,0)</f>
        <v>0</v>
      </c>
      <c r="AD1242" s="93">
        <f>IF(AQ1242="7",BH1242,0)</f>
        <v>0</v>
      </c>
      <c r="AE1242" s="93">
        <f>IF(AQ1242="7",BI1242,0)</f>
        <v>0</v>
      </c>
      <c r="AF1242" s="93">
        <f>IF(AQ1242="2",BH1242,0)</f>
        <v>0</v>
      </c>
      <c r="AG1242" s="93">
        <f>IF(AQ1242="2",BI1242,0)</f>
        <v>0</v>
      </c>
      <c r="AH1242" s="93">
        <f>IF(AQ1242="0",BJ1242,0)</f>
        <v>0</v>
      </c>
      <c r="AI1242" s="88" t="s">
        <v>55</v>
      </c>
      <c r="AJ1242" s="93">
        <f>IF(AN1242=0,L1242,0)</f>
        <v>0</v>
      </c>
      <c r="AK1242" s="93">
        <f>IF(AN1242=12,L1242,0)</f>
        <v>0</v>
      </c>
      <c r="AL1242" s="93">
        <f>IF(AN1242=21,L1242,0)</f>
        <v>0</v>
      </c>
      <c r="AN1242" s="93">
        <v>21</v>
      </c>
      <c r="AO1242" s="93">
        <f>H1242*0.531424575</f>
        <v>0</v>
      </c>
      <c r="AP1242" s="93">
        <f>H1242*(1-0.531424575)</f>
        <v>0</v>
      </c>
      <c r="AQ1242" s="94" t="s">
        <v>148</v>
      </c>
      <c r="AV1242" s="93">
        <f>AW1242+AX1242</f>
        <v>0</v>
      </c>
      <c r="AW1242" s="93">
        <f>G1242*AO1242</f>
        <v>0</v>
      </c>
      <c r="AX1242" s="93">
        <f>G1242*AP1242</f>
        <v>0</v>
      </c>
      <c r="AY1242" s="94" t="s">
        <v>1359</v>
      </c>
      <c r="AZ1242" s="94" t="s">
        <v>1360</v>
      </c>
      <c r="BA1242" s="88" t="s">
        <v>67</v>
      </c>
      <c r="BC1242" s="93">
        <f>AW1242+AX1242</f>
        <v>0</v>
      </c>
      <c r="BD1242" s="93">
        <f>H1242/(100-BE1242)*100</f>
        <v>0</v>
      </c>
      <c r="BE1242" s="93">
        <v>0</v>
      </c>
      <c r="BF1242" s="93">
        <f>O1242</f>
        <v>0.32141658150000002</v>
      </c>
      <c r="BH1242" s="93">
        <f>G1242*AO1242</f>
        <v>0</v>
      </c>
      <c r="BI1242" s="93">
        <f>G1242*AP1242</f>
        <v>0</v>
      </c>
      <c r="BJ1242" s="93">
        <f>G1242*H1242</f>
        <v>0</v>
      </c>
      <c r="BK1242" s="93"/>
      <c r="BL1242" s="93">
        <v>711</v>
      </c>
      <c r="BW1242" s="93" t="str">
        <f>I1242</f>
        <v>21</v>
      </c>
      <c r="BX1242" s="2" t="s">
        <v>1423</v>
      </c>
    </row>
    <row r="1243" spans="1:76" s="81" customFormat="1" ht="13.5" customHeight="1" x14ac:dyDescent="0.25">
      <c r="A1243" s="110"/>
      <c r="B1243" s="95"/>
      <c r="C1243" s="95"/>
      <c r="D1243" s="179" t="s">
        <v>1424</v>
      </c>
      <c r="E1243" s="179"/>
      <c r="F1243" s="179"/>
      <c r="G1243" s="179"/>
      <c r="H1243" s="179"/>
      <c r="I1243" s="179"/>
      <c r="J1243" s="179"/>
      <c r="K1243" s="179"/>
      <c r="L1243" s="179"/>
      <c r="M1243" s="179"/>
      <c r="N1243" s="179"/>
      <c r="O1243" s="179"/>
      <c r="P1243" s="179"/>
    </row>
    <row r="1244" spans="1:76" s="81" customFormat="1" x14ac:dyDescent="0.25">
      <c r="A1244" s="110"/>
      <c r="B1244" s="95"/>
      <c r="C1244" s="95"/>
      <c r="D1244" s="76" t="s">
        <v>54</v>
      </c>
      <c r="E1244" s="76" t="s">
        <v>948</v>
      </c>
      <c r="F1244" s="95"/>
      <c r="G1244" s="96">
        <v>0</v>
      </c>
      <c r="H1244" s="95"/>
      <c r="I1244" s="95"/>
      <c r="J1244" s="95"/>
      <c r="K1244" s="95"/>
      <c r="L1244" s="95"/>
      <c r="M1244" s="95"/>
      <c r="N1244" s="95"/>
      <c r="O1244" s="95"/>
      <c r="P1244" s="95"/>
    </row>
    <row r="1245" spans="1:76" s="81" customFormat="1" x14ac:dyDescent="0.25">
      <c r="A1245" s="110"/>
      <c r="B1245" s="95"/>
      <c r="C1245" s="95"/>
      <c r="D1245" s="76" t="s">
        <v>997</v>
      </c>
      <c r="E1245" s="76" t="s">
        <v>54</v>
      </c>
      <c r="F1245" s="95"/>
      <c r="G1245" s="96">
        <v>202.16363999999999</v>
      </c>
      <c r="H1245" s="95"/>
      <c r="I1245" s="95"/>
      <c r="J1245" s="95"/>
      <c r="K1245" s="95"/>
      <c r="L1245" s="95"/>
      <c r="M1245" s="95"/>
      <c r="N1245" s="95"/>
      <c r="O1245" s="95"/>
      <c r="P1245" s="95"/>
    </row>
    <row r="1246" spans="1:76" s="81" customFormat="1" x14ac:dyDescent="0.25">
      <c r="A1246" s="110"/>
      <c r="B1246" s="95"/>
      <c r="C1246" s="95"/>
      <c r="D1246" s="76" t="s">
        <v>998</v>
      </c>
      <c r="E1246" s="76" t="s">
        <v>54</v>
      </c>
      <c r="F1246" s="95"/>
      <c r="G1246" s="96">
        <v>28.102429999999998</v>
      </c>
      <c r="H1246" s="95"/>
      <c r="I1246" s="95"/>
      <c r="J1246" s="95"/>
      <c r="K1246" s="95"/>
      <c r="L1246" s="95"/>
      <c r="M1246" s="95"/>
      <c r="N1246" s="95"/>
      <c r="O1246" s="95"/>
      <c r="P1246" s="95"/>
    </row>
    <row r="1247" spans="1:76" s="81" customFormat="1" x14ac:dyDescent="0.25">
      <c r="A1247" s="110"/>
      <c r="B1247" s="95"/>
      <c r="C1247" s="95"/>
      <c r="D1247" s="76" t="s">
        <v>999</v>
      </c>
      <c r="E1247" s="76" t="s">
        <v>54</v>
      </c>
      <c r="F1247" s="95"/>
      <c r="G1247" s="96">
        <v>85.9572</v>
      </c>
      <c r="H1247" s="95"/>
      <c r="I1247" s="95"/>
      <c r="J1247" s="95"/>
      <c r="K1247" s="95"/>
      <c r="L1247" s="95"/>
      <c r="M1247" s="95"/>
      <c r="N1247" s="95"/>
      <c r="O1247" s="95"/>
      <c r="P1247" s="95"/>
    </row>
    <row r="1248" spans="1:76" s="81" customFormat="1" x14ac:dyDescent="0.25">
      <c r="A1248" s="110"/>
      <c r="B1248" s="95"/>
      <c r="C1248" s="95"/>
      <c r="D1248" s="76" t="s">
        <v>1425</v>
      </c>
      <c r="E1248" s="76" t="s">
        <v>54</v>
      </c>
      <c r="F1248" s="95"/>
      <c r="G1248" s="96">
        <v>45.476999999999997</v>
      </c>
      <c r="H1248" s="95"/>
      <c r="I1248" s="95"/>
      <c r="J1248" s="95"/>
      <c r="K1248" s="95"/>
      <c r="L1248" s="95"/>
      <c r="M1248" s="95"/>
      <c r="N1248" s="95"/>
      <c r="O1248" s="95"/>
      <c r="P1248" s="95"/>
    </row>
    <row r="1249" spans="1:76" s="81" customFormat="1" x14ac:dyDescent="0.25">
      <c r="A1249" s="110"/>
      <c r="B1249" s="95"/>
      <c r="C1249" s="95"/>
      <c r="D1249" s="76" t="s">
        <v>1001</v>
      </c>
      <c r="E1249" s="76" t="s">
        <v>54</v>
      </c>
      <c r="F1249" s="95"/>
      <c r="G1249" s="96">
        <v>6.7324999999999999</v>
      </c>
      <c r="H1249" s="95"/>
      <c r="I1249" s="95"/>
      <c r="J1249" s="95"/>
      <c r="K1249" s="95"/>
      <c r="L1249" s="95"/>
      <c r="M1249" s="95"/>
      <c r="N1249" s="95"/>
      <c r="O1249" s="95"/>
      <c r="P1249" s="95"/>
    </row>
    <row r="1250" spans="1:76" s="81" customFormat="1" x14ac:dyDescent="0.25">
      <c r="A1250" s="110"/>
      <c r="B1250" s="95"/>
      <c r="C1250" s="95"/>
      <c r="D1250" s="76" t="s">
        <v>1005</v>
      </c>
      <c r="E1250" s="76" t="s">
        <v>54</v>
      </c>
      <c r="F1250" s="95"/>
      <c r="G1250" s="96">
        <v>45.449669999999998</v>
      </c>
      <c r="H1250" s="95"/>
      <c r="I1250" s="95"/>
      <c r="J1250" s="95"/>
      <c r="K1250" s="95"/>
      <c r="L1250" s="95"/>
      <c r="M1250" s="95"/>
      <c r="N1250" s="95"/>
      <c r="O1250" s="95"/>
      <c r="P1250" s="95"/>
    </row>
    <row r="1251" spans="1:76" s="81" customFormat="1" x14ac:dyDescent="0.25">
      <c r="A1251" s="110"/>
      <c r="B1251" s="95"/>
      <c r="C1251" s="95"/>
      <c r="D1251" s="76" t="s">
        <v>1426</v>
      </c>
      <c r="E1251" s="76" t="s">
        <v>54</v>
      </c>
      <c r="F1251" s="95"/>
      <c r="G1251" s="96">
        <v>22.41264</v>
      </c>
      <c r="H1251" s="95"/>
      <c r="I1251" s="95"/>
      <c r="J1251" s="95"/>
      <c r="K1251" s="95"/>
      <c r="L1251" s="95"/>
      <c r="M1251" s="95"/>
      <c r="N1251" s="95"/>
      <c r="O1251" s="95"/>
      <c r="P1251" s="95"/>
    </row>
    <row r="1252" spans="1:76" s="81" customFormat="1" ht="25.5" x14ac:dyDescent="0.25">
      <c r="A1252" s="110"/>
      <c r="B1252" s="95"/>
      <c r="C1252" s="95"/>
      <c r="D1252" s="76" t="s">
        <v>1013</v>
      </c>
      <c r="E1252" s="76" t="s">
        <v>54</v>
      </c>
      <c r="F1252" s="95"/>
      <c r="G1252" s="96">
        <v>28.019970000000001</v>
      </c>
      <c r="H1252" s="95"/>
      <c r="I1252" s="95"/>
      <c r="J1252" s="95"/>
      <c r="K1252" s="95"/>
      <c r="L1252" s="95"/>
      <c r="M1252" s="95"/>
      <c r="N1252" s="95"/>
      <c r="O1252" s="95"/>
      <c r="P1252" s="95"/>
    </row>
    <row r="1253" spans="1:76" s="81" customFormat="1" x14ac:dyDescent="0.25">
      <c r="A1253" s="110"/>
      <c r="B1253" s="95"/>
      <c r="C1253" s="95"/>
      <c r="D1253" s="76" t="s">
        <v>1427</v>
      </c>
      <c r="E1253" s="76" t="s">
        <v>54</v>
      </c>
      <c r="F1253" s="95"/>
      <c r="G1253" s="96">
        <v>45.87</v>
      </c>
      <c r="H1253" s="95"/>
      <c r="I1253" s="95"/>
      <c r="J1253" s="95"/>
      <c r="K1253" s="95"/>
      <c r="L1253" s="95"/>
      <c r="M1253" s="95"/>
      <c r="N1253" s="95"/>
      <c r="O1253" s="95"/>
      <c r="P1253" s="95"/>
    </row>
    <row r="1254" spans="1:76" s="81" customFormat="1" ht="25.5" x14ac:dyDescent="0.25">
      <c r="A1254" s="66" t="s">
        <v>1429</v>
      </c>
      <c r="B1254" s="72" t="s">
        <v>55</v>
      </c>
      <c r="C1254" s="72" t="s">
        <v>1375</v>
      </c>
      <c r="D1254" s="174" t="s">
        <v>1376</v>
      </c>
      <c r="E1254" s="174"/>
      <c r="F1254" s="72" t="s">
        <v>192</v>
      </c>
      <c r="G1254" s="90">
        <v>510.18504999999999</v>
      </c>
      <c r="H1254" s="91"/>
      <c r="I1254" s="92" t="s">
        <v>63</v>
      </c>
      <c r="J1254" s="90">
        <f>G1254*AO1254</f>
        <v>0</v>
      </c>
      <c r="K1254" s="90">
        <f>G1254*AP1254</f>
        <v>0</v>
      </c>
      <c r="L1254" s="90">
        <f>G1254*H1254</f>
        <v>0</v>
      </c>
      <c r="M1254" s="90">
        <f>L1254*(1+BW1254/100)</f>
        <v>0</v>
      </c>
      <c r="N1254" s="90">
        <v>8.1999999999999998E-4</v>
      </c>
      <c r="O1254" s="90">
        <f>G1254*N1254</f>
        <v>0.418351741</v>
      </c>
      <c r="P1254" s="92" t="s">
        <v>64</v>
      </c>
      <c r="Z1254" s="93">
        <f>IF(AQ1254="5",BJ1254,0)</f>
        <v>0</v>
      </c>
      <c r="AB1254" s="93">
        <f>IF(AQ1254="1",BH1254,0)</f>
        <v>0</v>
      </c>
      <c r="AC1254" s="93">
        <f>IF(AQ1254="1",BI1254,0)</f>
        <v>0</v>
      </c>
      <c r="AD1254" s="93">
        <f>IF(AQ1254="7",BH1254,0)</f>
        <v>0</v>
      </c>
      <c r="AE1254" s="93">
        <f>IF(AQ1254="7",BI1254,0)</f>
        <v>0</v>
      </c>
      <c r="AF1254" s="93">
        <f>IF(AQ1254="2",BH1254,0)</f>
        <v>0</v>
      </c>
      <c r="AG1254" s="93">
        <f>IF(AQ1254="2",BI1254,0)</f>
        <v>0</v>
      </c>
      <c r="AH1254" s="93">
        <f>IF(AQ1254="0",BJ1254,0)</f>
        <v>0</v>
      </c>
      <c r="AI1254" s="88" t="s">
        <v>55</v>
      </c>
      <c r="AJ1254" s="93">
        <f>IF(AN1254=0,L1254,0)</f>
        <v>0</v>
      </c>
      <c r="AK1254" s="93">
        <f>IF(AN1254=12,L1254,0)</f>
        <v>0</v>
      </c>
      <c r="AL1254" s="93">
        <f>IF(AN1254=21,L1254,0)</f>
        <v>0</v>
      </c>
      <c r="AN1254" s="93">
        <v>21</v>
      </c>
      <c r="AO1254" s="93">
        <f>H1254*0.081084209</f>
        <v>0</v>
      </c>
      <c r="AP1254" s="93">
        <f>H1254*(1-0.081084209)</f>
        <v>0</v>
      </c>
      <c r="AQ1254" s="94" t="s">
        <v>148</v>
      </c>
      <c r="AV1254" s="93">
        <f>AW1254+AX1254</f>
        <v>0</v>
      </c>
      <c r="AW1254" s="93">
        <f>G1254*AO1254</f>
        <v>0</v>
      </c>
      <c r="AX1254" s="93">
        <f>G1254*AP1254</f>
        <v>0</v>
      </c>
      <c r="AY1254" s="94" t="s">
        <v>1359</v>
      </c>
      <c r="AZ1254" s="94" t="s">
        <v>1360</v>
      </c>
      <c r="BA1254" s="88" t="s">
        <v>67</v>
      </c>
      <c r="BC1254" s="93">
        <f>AW1254+AX1254</f>
        <v>0</v>
      </c>
      <c r="BD1254" s="93">
        <f>H1254/(100-BE1254)*100</f>
        <v>0</v>
      </c>
      <c r="BE1254" s="93">
        <v>0</v>
      </c>
      <c r="BF1254" s="93">
        <f>O1254</f>
        <v>0.418351741</v>
      </c>
      <c r="BH1254" s="93">
        <f>G1254*AO1254</f>
        <v>0</v>
      </c>
      <c r="BI1254" s="93">
        <f>G1254*AP1254</f>
        <v>0</v>
      </c>
      <c r="BJ1254" s="93">
        <f>G1254*H1254</f>
        <v>0</v>
      </c>
      <c r="BK1254" s="93"/>
      <c r="BL1254" s="93">
        <v>711</v>
      </c>
      <c r="BW1254" s="93" t="str">
        <f>I1254</f>
        <v>21</v>
      </c>
      <c r="BX1254" s="2" t="s">
        <v>1376</v>
      </c>
    </row>
    <row r="1255" spans="1:76" s="81" customFormat="1" ht="13.5" customHeight="1" x14ac:dyDescent="0.25">
      <c r="A1255" s="110"/>
      <c r="B1255" s="95"/>
      <c r="C1255" s="95"/>
      <c r="D1255" s="179" t="s">
        <v>1377</v>
      </c>
      <c r="E1255" s="179"/>
      <c r="F1255" s="179"/>
      <c r="G1255" s="179"/>
      <c r="H1255" s="179"/>
      <c r="I1255" s="179"/>
      <c r="J1255" s="179"/>
      <c r="K1255" s="179"/>
      <c r="L1255" s="179"/>
      <c r="M1255" s="179"/>
      <c r="N1255" s="179"/>
      <c r="O1255" s="179"/>
      <c r="P1255" s="179"/>
    </row>
    <row r="1256" spans="1:76" s="81" customFormat="1" ht="25.5" x14ac:dyDescent="0.25">
      <c r="A1256" s="66" t="s">
        <v>1432</v>
      </c>
      <c r="B1256" s="72" t="s">
        <v>55</v>
      </c>
      <c r="C1256" s="72" t="s">
        <v>1379</v>
      </c>
      <c r="D1256" s="174" t="s">
        <v>1380</v>
      </c>
      <c r="E1256" s="174"/>
      <c r="F1256" s="72" t="s">
        <v>192</v>
      </c>
      <c r="G1256" s="90">
        <v>612.22206000000006</v>
      </c>
      <c r="H1256" s="91"/>
      <c r="I1256" s="92" t="s">
        <v>63</v>
      </c>
      <c r="J1256" s="90">
        <f>G1256*AO1256</f>
        <v>0</v>
      </c>
      <c r="K1256" s="90">
        <f>G1256*AP1256</f>
        <v>0</v>
      </c>
      <c r="L1256" s="90">
        <f>G1256*H1256</f>
        <v>0</v>
      </c>
      <c r="M1256" s="90">
        <f>L1256*(1+BW1256/100)</f>
        <v>0</v>
      </c>
      <c r="N1256" s="90">
        <v>5.1999999999999998E-3</v>
      </c>
      <c r="O1256" s="90">
        <f>G1256*N1256</f>
        <v>3.1835547120000003</v>
      </c>
      <c r="P1256" s="92" t="s">
        <v>64</v>
      </c>
      <c r="Z1256" s="93">
        <f>IF(AQ1256="5",BJ1256,0)</f>
        <v>0</v>
      </c>
      <c r="AB1256" s="93">
        <f>IF(AQ1256="1",BH1256,0)</f>
        <v>0</v>
      </c>
      <c r="AC1256" s="93">
        <f>IF(AQ1256="1",BI1256,0)</f>
        <v>0</v>
      </c>
      <c r="AD1256" s="93">
        <f>IF(AQ1256="7",BH1256,0)</f>
        <v>0</v>
      </c>
      <c r="AE1256" s="93">
        <f>IF(AQ1256="7",BI1256,0)</f>
        <v>0</v>
      </c>
      <c r="AF1256" s="93">
        <f>IF(AQ1256="2",BH1256,0)</f>
        <v>0</v>
      </c>
      <c r="AG1256" s="93">
        <f>IF(AQ1256="2",BI1256,0)</f>
        <v>0</v>
      </c>
      <c r="AH1256" s="93">
        <f>IF(AQ1256="0",BJ1256,0)</f>
        <v>0</v>
      </c>
      <c r="AI1256" s="88" t="s">
        <v>55</v>
      </c>
      <c r="AJ1256" s="93">
        <f>IF(AN1256=0,L1256,0)</f>
        <v>0</v>
      </c>
      <c r="AK1256" s="93">
        <f>IF(AN1256=12,L1256,0)</f>
        <v>0</v>
      </c>
      <c r="AL1256" s="93">
        <f>IF(AN1256=21,L1256,0)</f>
        <v>0</v>
      </c>
      <c r="AN1256" s="93">
        <v>21</v>
      </c>
      <c r="AO1256" s="93">
        <f>H1256*1</f>
        <v>0</v>
      </c>
      <c r="AP1256" s="93">
        <f>H1256*(1-1)</f>
        <v>0</v>
      </c>
      <c r="AQ1256" s="94" t="s">
        <v>148</v>
      </c>
      <c r="AV1256" s="93">
        <f>AW1256+AX1256</f>
        <v>0</v>
      </c>
      <c r="AW1256" s="93">
        <f>G1256*AO1256</f>
        <v>0</v>
      </c>
      <c r="AX1256" s="93">
        <f>G1256*AP1256</f>
        <v>0</v>
      </c>
      <c r="AY1256" s="94" t="s">
        <v>1359</v>
      </c>
      <c r="AZ1256" s="94" t="s">
        <v>1360</v>
      </c>
      <c r="BA1256" s="88" t="s">
        <v>67</v>
      </c>
      <c r="BC1256" s="93">
        <f>AW1256+AX1256</f>
        <v>0</v>
      </c>
      <c r="BD1256" s="93">
        <f>H1256/(100-BE1256)*100</f>
        <v>0</v>
      </c>
      <c r="BE1256" s="93">
        <v>0</v>
      </c>
      <c r="BF1256" s="93">
        <f>O1256</f>
        <v>3.1835547120000003</v>
      </c>
      <c r="BH1256" s="93">
        <f>G1256*AO1256</f>
        <v>0</v>
      </c>
      <c r="BI1256" s="93">
        <f>G1256*AP1256</f>
        <v>0</v>
      </c>
      <c r="BJ1256" s="93">
        <f>G1256*H1256</f>
        <v>0</v>
      </c>
      <c r="BK1256" s="93"/>
      <c r="BL1256" s="93">
        <v>711</v>
      </c>
      <c r="BW1256" s="93" t="str">
        <f>I1256</f>
        <v>21</v>
      </c>
      <c r="BX1256" s="2" t="s">
        <v>1380</v>
      </c>
    </row>
    <row r="1257" spans="1:76" s="81" customFormat="1" x14ac:dyDescent="0.25">
      <c r="A1257" s="110"/>
      <c r="B1257" s="95"/>
      <c r="C1257" s="95"/>
      <c r="D1257" s="76" t="s">
        <v>1430</v>
      </c>
      <c r="E1257" s="76" t="s">
        <v>54</v>
      </c>
      <c r="F1257" s="95"/>
      <c r="G1257" s="96">
        <v>510.18504999999999</v>
      </c>
      <c r="H1257" s="97"/>
      <c r="I1257" s="95"/>
      <c r="J1257" s="95"/>
      <c r="K1257" s="95"/>
      <c r="L1257" s="95"/>
      <c r="M1257" s="95"/>
      <c r="N1257" s="95"/>
      <c r="O1257" s="95"/>
      <c r="P1257" s="95"/>
    </row>
    <row r="1258" spans="1:76" s="81" customFormat="1" x14ac:dyDescent="0.25">
      <c r="A1258" s="110"/>
      <c r="B1258" s="95"/>
      <c r="C1258" s="95"/>
      <c r="D1258" s="76" t="s">
        <v>1431</v>
      </c>
      <c r="E1258" s="76" t="s">
        <v>54</v>
      </c>
      <c r="F1258" s="95"/>
      <c r="G1258" s="96">
        <v>102.03701</v>
      </c>
      <c r="H1258" s="97"/>
      <c r="I1258" s="95"/>
      <c r="J1258" s="95"/>
      <c r="K1258" s="95"/>
      <c r="L1258" s="95"/>
      <c r="M1258" s="95"/>
      <c r="N1258" s="95"/>
      <c r="O1258" s="95"/>
      <c r="P1258" s="95"/>
    </row>
    <row r="1259" spans="1:76" s="81" customFormat="1" ht="25.5" x14ac:dyDescent="0.25">
      <c r="A1259" s="66" t="s">
        <v>1433</v>
      </c>
      <c r="B1259" s="72" t="s">
        <v>55</v>
      </c>
      <c r="C1259" s="72" t="s">
        <v>1384</v>
      </c>
      <c r="D1259" s="174" t="s">
        <v>1385</v>
      </c>
      <c r="E1259" s="174"/>
      <c r="F1259" s="72" t="s">
        <v>192</v>
      </c>
      <c r="G1259" s="90">
        <v>612.22206000000006</v>
      </c>
      <c r="H1259" s="91"/>
      <c r="I1259" s="92" t="s">
        <v>63</v>
      </c>
      <c r="J1259" s="90">
        <f>G1259*AO1259</f>
        <v>0</v>
      </c>
      <c r="K1259" s="90">
        <f>G1259*AP1259</f>
        <v>0</v>
      </c>
      <c r="L1259" s="90">
        <f>G1259*H1259</f>
        <v>0</v>
      </c>
      <c r="M1259" s="90">
        <f>L1259*(1+BW1259/100)</f>
        <v>0</v>
      </c>
      <c r="N1259" s="90">
        <v>5.4999999999999997E-3</v>
      </c>
      <c r="O1259" s="90">
        <f>G1259*N1259</f>
        <v>3.36722133</v>
      </c>
      <c r="P1259" s="92" t="s">
        <v>64</v>
      </c>
      <c r="Z1259" s="93">
        <f>IF(AQ1259="5",BJ1259,0)</f>
        <v>0</v>
      </c>
      <c r="AB1259" s="93">
        <f>IF(AQ1259="1",BH1259,0)</f>
        <v>0</v>
      </c>
      <c r="AC1259" s="93">
        <f>IF(AQ1259="1",BI1259,0)</f>
        <v>0</v>
      </c>
      <c r="AD1259" s="93">
        <f>IF(AQ1259="7",BH1259,0)</f>
        <v>0</v>
      </c>
      <c r="AE1259" s="93">
        <f>IF(AQ1259="7",BI1259,0)</f>
        <v>0</v>
      </c>
      <c r="AF1259" s="93">
        <f>IF(AQ1259="2",BH1259,0)</f>
        <v>0</v>
      </c>
      <c r="AG1259" s="93">
        <f>IF(AQ1259="2",BI1259,0)</f>
        <v>0</v>
      </c>
      <c r="AH1259" s="93">
        <f>IF(AQ1259="0",BJ1259,0)</f>
        <v>0</v>
      </c>
      <c r="AI1259" s="88" t="s">
        <v>55</v>
      </c>
      <c r="AJ1259" s="93">
        <f>IF(AN1259=0,L1259,0)</f>
        <v>0</v>
      </c>
      <c r="AK1259" s="93">
        <f>IF(AN1259=12,L1259,0)</f>
        <v>0</v>
      </c>
      <c r="AL1259" s="93">
        <f>IF(AN1259=21,L1259,0)</f>
        <v>0</v>
      </c>
      <c r="AN1259" s="93">
        <v>21</v>
      </c>
      <c r="AO1259" s="93">
        <f>H1259*1</f>
        <v>0</v>
      </c>
      <c r="AP1259" s="93">
        <f>H1259*(1-1)</f>
        <v>0</v>
      </c>
      <c r="AQ1259" s="94" t="s">
        <v>148</v>
      </c>
      <c r="AV1259" s="93">
        <f>AW1259+AX1259</f>
        <v>0</v>
      </c>
      <c r="AW1259" s="93">
        <f>G1259*AO1259</f>
        <v>0</v>
      </c>
      <c r="AX1259" s="93">
        <f>G1259*AP1259</f>
        <v>0</v>
      </c>
      <c r="AY1259" s="94" t="s">
        <v>1359</v>
      </c>
      <c r="AZ1259" s="94" t="s">
        <v>1360</v>
      </c>
      <c r="BA1259" s="88" t="s">
        <v>67</v>
      </c>
      <c r="BC1259" s="93">
        <f>AW1259+AX1259</f>
        <v>0</v>
      </c>
      <c r="BD1259" s="93">
        <f>H1259/(100-BE1259)*100</f>
        <v>0</v>
      </c>
      <c r="BE1259" s="93">
        <v>0</v>
      </c>
      <c r="BF1259" s="93">
        <f>O1259</f>
        <v>3.36722133</v>
      </c>
      <c r="BH1259" s="93">
        <f>G1259*AO1259</f>
        <v>0</v>
      </c>
      <c r="BI1259" s="93">
        <f>G1259*AP1259</f>
        <v>0</v>
      </c>
      <c r="BJ1259" s="93">
        <f>G1259*H1259</f>
        <v>0</v>
      </c>
      <c r="BK1259" s="93"/>
      <c r="BL1259" s="93">
        <v>711</v>
      </c>
      <c r="BW1259" s="93" t="str">
        <f>I1259</f>
        <v>21</v>
      </c>
      <c r="BX1259" s="2" t="s">
        <v>1385</v>
      </c>
    </row>
    <row r="1260" spans="1:76" s="81" customFormat="1" x14ac:dyDescent="0.25">
      <c r="A1260" s="110"/>
      <c r="B1260" s="95"/>
      <c r="C1260" s="95"/>
      <c r="D1260" s="76" t="s">
        <v>1430</v>
      </c>
      <c r="E1260" s="76" t="s">
        <v>54</v>
      </c>
      <c r="F1260" s="95"/>
      <c r="G1260" s="96">
        <v>510.18504999999999</v>
      </c>
      <c r="H1260" s="97"/>
      <c r="I1260" s="95"/>
      <c r="J1260" s="95"/>
      <c r="K1260" s="95"/>
      <c r="L1260" s="95"/>
      <c r="M1260" s="95"/>
      <c r="N1260" s="95"/>
      <c r="O1260" s="95"/>
      <c r="P1260" s="95"/>
    </row>
    <row r="1261" spans="1:76" s="81" customFormat="1" x14ac:dyDescent="0.25">
      <c r="A1261" s="110"/>
      <c r="B1261" s="95"/>
      <c r="C1261" s="95"/>
      <c r="D1261" s="76" t="s">
        <v>1431</v>
      </c>
      <c r="E1261" s="76" t="s">
        <v>54</v>
      </c>
      <c r="F1261" s="95"/>
      <c r="G1261" s="96">
        <v>102.03701</v>
      </c>
      <c r="H1261" s="97"/>
      <c r="I1261" s="95"/>
      <c r="J1261" s="95"/>
      <c r="K1261" s="95"/>
      <c r="L1261" s="95"/>
      <c r="M1261" s="95"/>
      <c r="N1261" s="95"/>
      <c r="O1261" s="95"/>
      <c r="P1261" s="95"/>
    </row>
    <row r="1262" spans="1:76" s="81" customFormat="1" ht="25.5" x14ac:dyDescent="0.25">
      <c r="A1262" s="66" t="s">
        <v>615</v>
      </c>
      <c r="B1262" s="72" t="s">
        <v>55</v>
      </c>
      <c r="C1262" s="72" t="s">
        <v>1434</v>
      </c>
      <c r="D1262" s="174" t="s">
        <v>1435</v>
      </c>
      <c r="E1262" s="174"/>
      <c r="F1262" s="72" t="s">
        <v>192</v>
      </c>
      <c r="G1262" s="90">
        <v>510.18504999999999</v>
      </c>
      <c r="H1262" s="91"/>
      <c r="I1262" s="92" t="s">
        <v>63</v>
      </c>
      <c r="J1262" s="90">
        <f>G1262*AO1262</f>
        <v>0</v>
      </c>
      <c r="K1262" s="90">
        <f>G1262*AP1262</f>
        <v>0</v>
      </c>
      <c r="L1262" s="90">
        <f>G1262*H1262</f>
        <v>0</v>
      </c>
      <c r="M1262" s="90">
        <f>L1262*(1+BW1262/100)</f>
        <v>0</v>
      </c>
      <c r="N1262" s="90">
        <v>1.15E-3</v>
      </c>
      <c r="O1262" s="90">
        <f>G1262*N1262</f>
        <v>0.58671280749999999</v>
      </c>
      <c r="P1262" s="92" t="s">
        <v>64</v>
      </c>
      <c r="Z1262" s="93">
        <f>IF(AQ1262="5",BJ1262,0)</f>
        <v>0</v>
      </c>
      <c r="AB1262" s="93">
        <f>IF(AQ1262="1",BH1262,0)</f>
        <v>0</v>
      </c>
      <c r="AC1262" s="93">
        <f>IF(AQ1262="1",BI1262,0)</f>
        <v>0</v>
      </c>
      <c r="AD1262" s="93">
        <f>IF(AQ1262="7",BH1262,0)</f>
        <v>0</v>
      </c>
      <c r="AE1262" s="93">
        <f>IF(AQ1262="7",BI1262,0)</f>
        <v>0</v>
      </c>
      <c r="AF1262" s="93">
        <f>IF(AQ1262="2",BH1262,0)</f>
        <v>0</v>
      </c>
      <c r="AG1262" s="93">
        <f>IF(AQ1262="2",BI1262,0)</f>
        <v>0</v>
      </c>
      <c r="AH1262" s="93">
        <f>IF(AQ1262="0",BJ1262,0)</f>
        <v>0</v>
      </c>
      <c r="AI1262" s="88" t="s">
        <v>55</v>
      </c>
      <c r="AJ1262" s="93">
        <f>IF(AN1262=0,L1262,0)</f>
        <v>0</v>
      </c>
      <c r="AK1262" s="93">
        <f>IF(AN1262=12,L1262,0)</f>
        <v>0</v>
      </c>
      <c r="AL1262" s="93">
        <f>IF(AN1262=21,L1262,0)</f>
        <v>0</v>
      </c>
      <c r="AN1262" s="93">
        <v>21</v>
      </c>
      <c r="AO1262" s="93">
        <f>H1262*0.702508252</f>
        <v>0</v>
      </c>
      <c r="AP1262" s="93">
        <f>H1262*(1-0.702508252)</f>
        <v>0</v>
      </c>
      <c r="AQ1262" s="94" t="s">
        <v>148</v>
      </c>
      <c r="AV1262" s="93">
        <f>AW1262+AX1262</f>
        <v>0</v>
      </c>
      <c r="AW1262" s="93">
        <f>G1262*AO1262</f>
        <v>0</v>
      </c>
      <c r="AX1262" s="93">
        <f>G1262*AP1262</f>
        <v>0</v>
      </c>
      <c r="AY1262" s="94" t="s">
        <v>1359</v>
      </c>
      <c r="AZ1262" s="94" t="s">
        <v>1360</v>
      </c>
      <c r="BA1262" s="88" t="s">
        <v>67</v>
      </c>
      <c r="BC1262" s="93">
        <f>AW1262+AX1262</f>
        <v>0</v>
      </c>
      <c r="BD1262" s="93">
        <f>H1262/(100-BE1262)*100</f>
        <v>0</v>
      </c>
      <c r="BE1262" s="93">
        <v>0</v>
      </c>
      <c r="BF1262" s="93">
        <f>O1262</f>
        <v>0.58671280749999999</v>
      </c>
      <c r="BH1262" s="93">
        <f>G1262*AO1262</f>
        <v>0</v>
      </c>
      <c r="BI1262" s="93">
        <f>G1262*AP1262</f>
        <v>0</v>
      </c>
      <c r="BJ1262" s="93">
        <f>G1262*H1262</f>
        <v>0</v>
      </c>
      <c r="BK1262" s="93"/>
      <c r="BL1262" s="93">
        <v>711</v>
      </c>
      <c r="BW1262" s="93" t="str">
        <f>I1262</f>
        <v>21</v>
      </c>
      <c r="BX1262" s="2" t="s">
        <v>1435</v>
      </c>
    </row>
    <row r="1263" spans="1:76" s="81" customFormat="1" ht="13.5" customHeight="1" x14ac:dyDescent="0.25">
      <c r="A1263" s="110"/>
      <c r="B1263" s="95"/>
      <c r="C1263" s="95"/>
      <c r="D1263" s="179" t="s">
        <v>1436</v>
      </c>
      <c r="E1263" s="179"/>
      <c r="F1263" s="179"/>
      <c r="G1263" s="179"/>
      <c r="H1263" s="179"/>
      <c r="I1263" s="179"/>
      <c r="J1263" s="179"/>
      <c r="K1263" s="179"/>
      <c r="L1263" s="179"/>
      <c r="M1263" s="179"/>
      <c r="N1263" s="179"/>
      <c r="O1263" s="179"/>
      <c r="P1263" s="179"/>
    </row>
    <row r="1264" spans="1:76" s="81" customFormat="1" ht="25.5" x14ac:dyDescent="0.25">
      <c r="A1264" s="66" t="s">
        <v>1439</v>
      </c>
      <c r="B1264" s="72" t="s">
        <v>55</v>
      </c>
      <c r="C1264" s="72" t="s">
        <v>1437</v>
      </c>
      <c r="D1264" s="174" t="s">
        <v>1438</v>
      </c>
      <c r="E1264" s="174"/>
      <c r="F1264" s="72" t="s">
        <v>192</v>
      </c>
      <c r="G1264" s="90">
        <v>510.18504999999999</v>
      </c>
      <c r="H1264" s="91"/>
      <c r="I1264" s="92" t="s">
        <v>63</v>
      </c>
      <c r="J1264" s="90">
        <f>G1264*AO1264</f>
        <v>0</v>
      </c>
      <c r="K1264" s="90">
        <f>G1264*AP1264</f>
        <v>0</v>
      </c>
      <c r="L1264" s="90">
        <f>G1264*H1264</f>
        <v>0</v>
      </c>
      <c r="M1264" s="90">
        <f>L1264*(1+BW1264/100)</f>
        <v>0</v>
      </c>
      <c r="N1264" s="90">
        <v>3.2000000000000003E-4</v>
      </c>
      <c r="O1264" s="90">
        <f>G1264*N1264</f>
        <v>0.16325921600000001</v>
      </c>
      <c r="P1264" s="92" t="s">
        <v>64</v>
      </c>
      <c r="Z1264" s="93">
        <f>IF(AQ1264="5",BJ1264,0)</f>
        <v>0</v>
      </c>
      <c r="AB1264" s="93">
        <f>IF(AQ1264="1",BH1264,0)</f>
        <v>0</v>
      </c>
      <c r="AC1264" s="93">
        <f>IF(AQ1264="1",BI1264,0)</f>
        <v>0</v>
      </c>
      <c r="AD1264" s="93">
        <f>IF(AQ1264="7",BH1264,0)</f>
        <v>0</v>
      </c>
      <c r="AE1264" s="93">
        <f>IF(AQ1264="7",BI1264,0)</f>
        <v>0</v>
      </c>
      <c r="AF1264" s="93">
        <f>IF(AQ1264="2",BH1264,0)</f>
        <v>0</v>
      </c>
      <c r="AG1264" s="93">
        <f>IF(AQ1264="2",BI1264,0)</f>
        <v>0</v>
      </c>
      <c r="AH1264" s="93">
        <f>IF(AQ1264="0",BJ1264,0)</f>
        <v>0</v>
      </c>
      <c r="AI1264" s="88" t="s">
        <v>55</v>
      </c>
      <c r="AJ1264" s="93">
        <f>IF(AN1264=0,L1264,0)</f>
        <v>0</v>
      </c>
      <c r="AK1264" s="93">
        <f>IF(AN1264=12,L1264,0)</f>
        <v>0</v>
      </c>
      <c r="AL1264" s="93">
        <f>IF(AN1264=21,L1264,0)</f>
        <v>0</v>
      </c>
      <c r="AN1264" s="93">
        <v>21</v>
      </c>
      <c r="AO1264" s="93">
        <f>H1264*0.293928549</f>
        <v>0</v>
      </c>
      <c r="AP1264" s="93">
        <f>H1264*(1-0.293928549)</f>
        <v>0</v>
      </c>
      <c r="AQ1264" s="94" t="s">
        <v>148</v>
      </c>
      <c r="AV1264" s="93">
        <f>AW1264+AX1264</f>
        <v>0</v>
      </c>
      <c r="AW1264" s="93">
        <f>G1264*AO1264</f>
        <v>0</v>
      </c>
      <c r="AX1264" s="93">
        <f>G1264*AP1264</f>
        <v>0</v>
      </c>
      <c r="AY1264" s="94" t="s">
        <v>1359</v>
      </c>
      <c r="AZ1264" s="94" t="s">
        <v>1360</v>
      </c>
      <c r="BA1264" s="88" t="s">
        <v>67</v>
      </c>
      <c r="BC1264" s="93">
        <f>AW1264+AX1264</f>
        <v>0</v>
      </c>
      <c r="BD1264" s="93">
        <f>H1264/(100-BE1264)*100</f>
        <v>0</v>
      </c>
      <c r="BE1264" s="93">
        <v>0</v>
      </c>
      <c r="BF1264" s="93">
        <f>O1264</f>
        <v>0.16325921600000001</v>
      </c>
      <c r="BH1264" s="93">
        <f>G1264*AO1264</f>
        <v>0</v>
      </c>
      <c r="BI1264" s="93">
        <f>G1264*AP1264</f>
        <v>0</v>
      </c>
      <c r="BJ1264" s="93">
        <f>G1264*H1264</f>
        <v>0</v>
      </c>
      <c r="BK1264" s="93"/>
      <c r="BL1264" s="93">
        <v>711</v>
      </c>
      <c r="BW1264" s="93" t="str">
        <f>I1264</f>
        <v>21</v>
      </c>
      <c r="BX1264" s="2" t="s">
        <v>1438</v>
      </c>
    </row>
    <row r="1265" spans="1:76" s="81" customFormat="1" ht="13.5" customHeight="1" x14ac:dyDescent="0.25">
      <c r="A1265" s="110"/>
      <c r="B1265" s="95"/>
      <c r="C1265" s="95"/>
      <c r="D1265" s="179" t="s">
        <v>1361</v>
      </c>
      <c r="E1265" s="179"/>
      <c r="F1265" s="179"/>
      <c r="G1265" s="179"/>
      <c r="H1265" s="179"/>
      <c r="I1265" s="179"/>
      <c r="J1265" s="179"/>
      <c r="K1265" s="179"/>
      <c r="L1265" s="179"/>
      <c r="M1265" s="179"/>
      <c r="N1265" s="179"/>
      <c r="O1265" s="179"/>
      <c r="P1265" s="179"/>
    </row>
    <row r="1266" spans="1:76" s="81" customFormat="1" ht="25.5" x14ac:dyDescent="0.25">
      <c r="A1266" s="66" t="s">
        <v>1444</v>
      </c>
      <c r="B1266" s="72" t="s">
        <v>55</v>
      </c>
      <c r="C1266" s="72" t="s">
        <v>1440</v>
      </c>
      <c r="D1266" s="174" t="s">
        <v>1441</v>
      </c>
      <c r="E1266" s="174"/>
      <c r="F1266" s="72" t="s">
        <v>192</v>
      </c>
      <c r="G1266" s="90">
        <v>36.47</v>
      </c>
      <c r="H1266" s="91"/>
      <c r="I1266" s="92" t="s">
        <v>63</v>
      </c>
      <c r="J1266" s="90">
        <f>G1266*AO1266</f>
        <v>0</v>
      </c>
      <c r="K1266" s="90">
        <f>G1266*AP1266</f>
        <v>0</v>
      </c>
      <c r="L1266" s="90">
        <f>G1266*H1266</f>
        <v>0</v>
      </c>
      <c r="M1266" s="90">
        <f>L1266*(1+BW1266/100)</f>
        <v>0</v>
      </c>
      <c r="N1266" s="90">
        <v>2.14E-3</v>
      </c>
      <c r="O1266" s="90">
        <f>G1266*N1266</f>
        <v>7.8045799999999999E-2</v>
      </c>
      <c r="P1266" s="92" t="s">
        <v>64</v>
      </c>
      <c r="Z1266" s="93">
        <f>IF(AQ1266="5",BJ1266,0)</f>
        <v>0</v>
      </c>
      <c r="AB1266" s="93">
        <f>IF(AQ1266="1",BH1266,0)</f>
        <v>0</v>
      </c>
      <c r="AC1266" s="93">
        <f>IF(AQ1266="1",BI1266,0)</f>
        <v>0</v>
      </c>
      <c r="AD1266" s="93">
        <f>IF(AQ1266="7",BH1266,0)</f>
        <v>0</v>
      </c>
      <c r="AE1266" s="93">
        <f>IF(AQ1266="7",BI1266,0)</f>
        <v>0</v>
      </c>
      <c r="AF1266" s="93">
        <f>IF(AQ1266="2",BH1266,0)</f>
        <v>0</v>
      </c>
      <c r="AG1266" s="93">
        <f>IF(AQ1266="2",BI1266,0)</f>
        <v>0</v>
      </c>
      <c r="AH1266" s="93">
        <f>IF(AQ1266="0",BJ1266,0)</f>
        <v>0</v>
      </c>
      <c r="AI1266" s="88" t="s">
        <v>55</v>
      </c>
      <c r="AJ1266" s="93">
        <f>IF(AN1266=0,L1266,0)</f>
        <v>0</v>
      </c>
      <c r="AK1266" s="93">
        <f>IF(AN1266=12,L1266,0)</f>
        <v>0</v>
      </c>
      <c r="AL1266" s="93">
        <f>IF(AN1266=21,L1266,0)</f>
        <v>0</v>
      </c>
      <c r="AN1266" s="93">
        <v>21</v>
      </c>
      <c r="AO1266" s="93">
        <f>H1266*0.852255245</f>
        <v>0</v>
      </c>
      <c r="AP1266" s="93">
        <f>H1266*(1-0.852255245)</f>
        <v>0</v>
      </c>
      <c r="AQ1266" s="94" t="s">
        <v>148</v>
      </c>
      <c r="AV1266" s="93">
        <f>AW1266+AX1266</f>
        <v>0</v>
      </c>
      <c r="AW1266" s="93">
        <f>G1266*AO1266</f>
        <v>0</v>
      </c>
      <c r="AX1266" s="93">
        <f>G1266*AP1266</f>
        <v>0</v>
      </c>
      <c r="AY1266" s="94" t="s">
        <v>1359</v>
      </c>
      <c r="AZ1266" s="94" t="s">
        <v>1360</v>
      </c>
      <c r="BA1266" s="88" t="s">
        <v>67</v>
      </c>
      <c r="BC1266" s="93">
        <f>AW1266+AX1266</f>
        <v>0</v>
      </c>
      <c r="BD1266" s="93">
        <f>H1266/(100-BE1266)*100</f>
        <v>0</v>
      </c>
      <c r="BE1266" s="93">
        <v>0</v>
      </c>
      <c r="BF1266" s="93">
        <f>O1266</f>
        <v>7.8045799999999999E-2</v>
      </c>
      <c r="BH1266" s="93">
        <f>G1266*AO1266</f>
        <v>0</v>
      </c>
      <c r="BI1266" s="93">
        <f>G1266*AP1266</f>
        <v>0</v>
      </c>
      <c r="BJ1266" s="93">
        <f>G1266*H1266</f>
        <v>0</v>
      </c>
      <c r="BK1266" s="93"/>
      <c r="BL1266" s="93">
        <v>711</v>
      </c>
      <c r="BW1266" s="93" t="str">
        <f>I1266</f>
        <v>21</v>
      </c>
      <c r="BX1266" s="2" t="s">
        <v>1441</v>
      </c>
    </row>
    <row r="1267" spans="1:76" s="81" customFormat="1" x14ac:dyDescent="0.25">
      <c r="A1267" s="110"/>
      <c r="B1267" s="95"/>
      <c r="C1267" s="95"/>
      <c r="D1267" s="76" t="s">
        <v>1442</v>
      </c>
      <c r="E1267" s="76" t="s">
        <v>1443</v>
      </c>
      <c r="F1267" s="95"/>
      <c r="G1267" s="96">
        <v>36.47</v>
      </c>
      <c r="H1267" s="95"/>
      <c r="I1267" s="95"/>
      <c r="J1267" s="95"/>
      <c r="K1267" s="95"/>
      <c r="L1267" s="95"/>
      <c r="M1267" s="95"/>
      <c r="N1267" s="95"/>
      <c r="O1267" s="95"/>
      <c r="P1267" s="95"/>
    </row>
    <row r="1268" spans="1:76" s="81" customFormat="1" ht="25.5" x14ac:dyDescent="0.25">
      <c r="A1268" s="66" t="s">
        <v>1450</v>
      </c>
      <c r="B1268" s="72" t="s">
        <v>55</v>
      </c>
      <c r="C1268" s="72" t="s">
        <v>1445</v>
      </c>
      <c r="D1268" s="174" t="s">
        <v>1446</v>
      </c>
      <c r="E1268" s="174"/>
      <c r="F1268" s="72" t="s">
        <v>1447</v>
      </c>
      <c r="G1268" s="91"/>
      <c r="H1268" s="91"/>
      <c r="I1268" s="92" t="s">
        <v>63</v>
      </c>
      <c r="J1268" s="90">
        <f>G1268*AO1268</f>
        <v>0</v>
      </c>
      <c r="K1268" s="90">
        <f>G1268*AP1268</f>
        <v>0</v>
      </c>
      <c r="L1268" s="90">
        <f>G1268*H1268</f>
        <v>0</v>
      </c>
      <c r="M1268" s="90">
        <f>L1268*(1+BW1268/100)</f>
        <v>0</v>
      </c>
      <c r="N1268" s="90">
        <v>0</v>
      </c>
      <c r="O1268" s="90">
        <f>G1268*N1268</f>
        <v>0</v>
      </c>
      <c r="P1268" s="92" t="s">
        <v>64</v>
      </c>
      <c r="Z1268" s="93">
        <f>IF(AQ1268="5",BJ1268,0)</f>
        <v>0</v>
      </c>
      <c r="AB1268" s="93">
        <f>IF(AQ1268="1",BH1268,0)</f>
        <v>0</v>
      </c>
      <c r="AC1268" s="93">
        <f>IF(AQ1268="1",BI1268,0)</f>
        <v>0</v>
      </c>
      <c r="AD1268" s="93">
        <f>IF(AQ1268="7",BH1268,0)</f>
        <v>0</v>
      </c>
      <c r="AE1268" s="93">
        <f>IF(AQ1268="7",BI1268,0)</f>
        <v>0</v>
      </c>
      <c r="AF1268" s="93">
        <f>IF(AQ1268="2",BH1268,0)</f>
        <v>0</v>
      </c>
      <c r="AG1268" s="93">
        <f>IF(AQ1268="2",BI1268,0)</f>
        <v>0</v>
      </c>
      <c r="AH1268" s="93">
        <f>IF(AQ1268="0",BJ1268,0)</f>
        <v>0</v>
      </c>
      <c r="AI1268" s="88" t="s">
        <v>55</v>
      </c>
      <c r="AJ1268" s="93">
        <f>IF(AN1268=0,L1268,0)</f>
        <v>0</v>
      </c>
      <c r="AK1268" s="93">
        <f>IF(AN1268=12,L1268,0)</f>
        <v>0</v>
      </c>
      <c r="AL1268" s="93">
        <f>IF(AN1268=21,L1268,0)</f>
        <v>0</v>
      </c>
      <c r="AN1268" s="93">
        <v>21</v>
      </c>
      <c r="AO1268" s="93">
        <f>H1268*0</f>
        <v>0</v>
      </c>
      <c r="AP1268" s="93">
        <f>H1268*(1-0)</f>
        <v>0</v>
      </c>
      <c r="AQ1268" s="94" t="s">
        <v>136</v>
      </c>
      <c r="AV1268" s="93">
        <f>AW1268+AX1268</f>
        <v>0</v>
      </c>
      <c r="AW1268" s="93">
        <f>G1268*AO1268</f>
        <v>0</v>
      </c>
      <c r="AX1268" s="93">
        <f>G1268*AP1268</f>
        <v>0</v>
      </c>
      <c r="AY1268" s="94" t="s">
        <v>1359</v>
      </c>
      <c r="AZ1268" s="94" t="s">
        <v>1360</v>
      </c>
      <c r="BA1268" s="88" t="s">
        <v>67</v>
      </c>
      <c r="BC1268" s="93">
        <f>AW1268+AX1268</f>
        <v>0</v>
      </c>
      <c r="BD1268" s="93">
        <f>H1268/(100-BE1268)*100</f>
        <v>0</v>
      </c>
      <c r="BE1268" s="93">
        <v>0</v>
      </c>
      <c r="BF1268" s="93">
        <f>O1268</f>
        <v>0</v>
      </c>
      <c r="BH1268" s="93">
        <f>G1268*AO1268</f>
        <v>0</v>
      </c>
      <c r="BI1268" s="93">
        <f>G1268*AP1268</f>
        <v>0</v>
      </c>
      <c r="BJ1268" s="93">
        <f>G1268*H1268</f>
        <v>0</v>
      </c>
      <c r="BK1268" s="93"/>
      <c r="BL1268" s="93">
        <v>711</v>
      </c>
      <c r="BW1268" s="93" t="str">
        <f>I1268</f>
        <v>21</v>
      </c>
      <c r="BX1268" s="2" t="s">
        <v>1446</v>
      </c>
    </row>
    <row r="1269" spans="1:76" s="81" customFormat="1" x14ac:dyDescent="0.25">
      <c r="A1269" s="109" t="s">
        <v>54</v>
      </c>
      <c r="B1269" s="74" t="s">
        <v>55</v>
      </c>
      <c r="C1269" s="74" t="s">
        <v>1448</v>
      </c>
      <c r="D1269" s="180" t="s">
        <v>1449</v>
      </c>
      <c r="E1269" s="180"/>
      <c r="F1269" s="85" t="s">
        <v>4</v>
      </c>
      <c r="G1269" s="85" t="s">
        <v>4</v>
      </c>
      <c r="H1269" s="85" t="s">
        <v>4</v>
      </c>
      <c r="I1269" s="85" t="s">
        <v>4</v>
      </c>
      <c r="J1269" s="86">
        <f>SUM(J1270:J1386)</f>
        <v>0</v>
      </c>
      <c r="K1269" s="86">
        <f>SUM(K1270:K1386)</f>
        <v>0</v>
      </c>
      <c r="L1269" s="86">
        <f>SUM(L1270:L1386)</f>
        <v>0</v>
      </c>
      <c r="M1269" s="86">
        <f>SUM(M1270:M1386)</f>
        <v>0</v>
      </c>
      <c r="N1269" s="87" t="s">
        <v>54</v>
      </c>
      <c r="O1269" s="86">
        <f>SUM(O1270:O1386)</f>
        <v>22.119479360499998</v>
      </c>
      <c r="P1269" s="87" t="s">
        <v>54</v>
      </c>
      <c r="AI1269" s="88" t="s">
        <v>55</v>
      </c>
      <c r="AS1269" s="89">
        <f>SUM(AJ1270:AJ1386)</f>
        <v>0</v>
      </c>
      <c r="AT1269" s="89">
        <f>SUM(AK1270:AK1386)</f>
        <v>0</v>
      </c>
      <c r="AU1269" s="89">
        <f>SUM(AL1270:AL1386)</f>
        <v>0</v>
      </c>
    </row>
    <row r="1270" spans="1:76" s="81" customFormat="1" ht="25.5" x14ac:dyDescent="0.25">
      <c r="A1270" s="66" t="s">
        <v>1455</v>
      </c>
      <c r="B1270" s="72" t="s">
        <v>55</v>
      </c>
      <c r="C1270" s="72" t="s">
        <v>1451</v>
      </c>
      <c r="D1270" s="174" t="s">
        <v>1452</v>
      </c>
      <c r="E1270" s="174"/>
      <c r="F1270" s="72" t="s">
        <v>192</v>
      </c>
      <c r="G1270" s="90">
        <v>873.64137000000005</v>
      </c>
      <c r="H1270" s="91"/>
      <c r="I1270" s="92" t="s">
        <v>63</v>
      </c>
      <c r="J1270" s="90">
        <f>G1270*AO1270</f>
        <v>0</v>
      </c>
      <c r="K1270" s="90">
        <f>G1270*AP1270</f>
        <v>0</v>
      </c>
      <c r="L1270" s="90">
        <f>G1270*H1270</f>
        <v>0</v>
      </c>
      <c r="M1270" s="90">
        <f>L1270*(1+BW1270/100)</f>
        <v>0</v>
      </c>
      <c r="N1270" s="90">
        <v>1.4999999999999999E-4</v>
      </c>
      <c r="O1270" s="90">
        <f>G1270*N1270</f>
        <v>0.13104620549999998</v>
      </c>
      <c r="P1270" s="92" t="s">
        <v>64</v>
      </c>
      <c r="Z1270" s="93">
        <f>IF(AQ1270="5",BJ1270,0)</f>
        <v>0</v>
      </c>
      <c r="AB1270" s="93">
        <f>IF(AQ1270="1",BH1270,0)</f>
        <v>0</v>
      </c>
      <c r="AC1270" s="93">
        <f>IF(AQ1270="1",BI1270,0)</f>
        <v>0</v>
      </c>
      <c r="AD1270" s="93">
        <f>IF(AQ1270="7",BH1270,0)</f>
        <v>0</v>
      </c>
      <c r="AE1270" s="93">
        <f>IF(AQ1270="7",BI1270,0)</f>
        <v>0</v>
      </c>
      <c r="AF1270" s="93">
        <f>IF(AQ1270="2",BH1270,0)</f>
        <v>0</v>
      </c>
      <c r="AG1270" s="93">
        <f>IF(AQ1270="2",BI1270,0)</f>
        <v>0</v>
      </c>
      <c r="AH1270" s="93">
        <f>IF(AQ1270="0",BJ1270,0)</f>
        <v>0</v>
      </c>
      <c r="AI1270" s="88" t="s">
        <v>55</v>
      </c>
      <c r="AJ1270" s="93">
        <f>IF(AN1270=0,L1270,0)</f>
        <v>0</v>
      </c>
      <c r="AK1270" s="93">
        <f>IF(AN1270=12,L1270,0)</f>
        <v>0</v>
      </c>
      <c r="AL1270" s="93">
        <f>IF(AN1270=21,L1270,0)</f>
        <v>0</v>
      </c>
      <c r="AN1270" s="93">
        <v>21</v>
      </c>
      <c r="AO1270" s="93">
        <f>H1270*0.302421053</f>
        <v>0</v>
      </c>
      <c r="AP1270" s="93">
        <f>H1270*(1-0.302421053)</f>
        <v>0</v>
      </c>
      <c r="AQ1270" s="94" t="s">
        <v>148</v>
      </c>
      <c r="AV1270" s="93">
        <f>AW1270+AX1270</f>
        <v>0</v>
      </c>
      <c r="AW1270" s="93">
        <f>G1270*AO1270</f>
        <v>0</v>
      </c>
      <c r="AX1270" s="93">
        <f>G1270*AP1270</f>
        <v>0</v>
      </c>
      <c r="AY1270" s="94" t="s">
        <v>1453</v>
      </c>
      <c r="AZ1270" s="94" t="s">
        <v>1360</v>
      </c>
      <c r="BA1270" s="88" t="s">
        <v>67</v>
      </c>
      <c r="BC1270" s="93">
        <f>AW1270+AX1270</f>
        <v>0</v>
      </c>
      <c r="BD1270" s="93">
        <f>H1270/(100-BE1270)*100</f>
        <v>0</v>
      </c>
      <c r="BE1270" s="93">
        <v>0</v>
      </c>
      <c r="BF1270" s="93">
        <f>O1270</f>
        <v>0.13104620549999998</v>
      </c>
      <c r="BH1270" s="93">
        <f>G1270*AO1270</f>
        <v>0</v>
      </c>
      <c r="BI1270" s="93">
        <f>G1270*AP1270</f>
        <v>0</v>
      </c>
      <c r="BJ1270" s="93">
        <f>G1270*H1270</f>
        <v>0</v>
      </c>
      <c r="BK1270" s="93"/>
      <c r="BL1270" s="93">
        <v>712</v>
      </c>
      <c r="BW1270" s="93" t="str">
        <f>I1270</f>
        <v>21</v>
      </c>
      <c r="BX1270" s="2" t="s">
        <v>1452</v>
      </c>
    </row>
    <row r="1271" spans="1:76" s="81" customFormat="1" ht="13.5" customHeight="1" x14ac:dyDescent="0.25">
      <c r="A1271" s="110"/>
      <c r="B1271" s="95"/>
      <c r="C1271" s="95"/>
      <c r="D1271" s="179" t="s">
        <v>1454</v>
      </c>
      <c r="E1271" s="179"/>
      <c r="F1271" s="179"/>
      <c r="G1271" s="179"/>
      <c r="H1271" s="179"/>
      <c r="I1271" s="179"/>
      <c r="J1271" s="179"/>
      <c r="K1271" s="179"/>
      <c r="L1271" s="179"/>
      <c r="M1271" s="179"/>
      <c r="N1271" s="179"/>
      <c r="O1271" s="179"/>
      <c r="P1271" s="179"/>
    </row>
    <row r="1272" spans="1:76" s="81" customFormat="1" x14ac:dyDescent="0.25">
      <c r="A1272" s="110"/>
      <c r="B1272" s="95"/>
      <c r="C1272" s="95"/>
      <c r="D1272" s="76" t="s">
        <v>54</v>
      </c>
      <c r="E1272" s="76" t="s">
        <v>831</v>
      </c>
      <c r="F1272" s="95"/>
      <c r="G1272" s="96">
        <v>0</v>
      </c>
      <c r="H1272" s="95"/>
      <c r="I1272" s="95"/>
      <c r="J1272" s="95"/>
      <c r="K1272" s="95"/>
      <c r="L1272" s="95"/>
      <c r="M1272" s="95"/>
      <c r="N1272" s="95"/>
      <c r="O1272" s="95"/>
      <c r="P1272" s="95"/>
    </row>
    <row r="1273" spans="1:76" s="81" customFormat="1" x14ac:dyDescent="0.25">
      <c r="A1273" s="110"/>
      <c r="B1273" s="95"/>
      <c r="C1273" s="95"/>
      <c r="D1273" s="76" t="s">
        <v>54</v>
      </c>
      <c r="E1273" s="76" t="s">
        <v>832</v>
      </c>
      <c r="F1273" s="95"/>
      <c r="G1273" s="96">
        <v>0</v>
      </c>
      <c r="H1273" s="95"/>
      <c r="I1273" s="95"/>
      <c r="J1273" s="95"/>
      <c r="K1273" s="95"/>
      <c r="L1273" s="95"/>
      <c r="M1273" s="95"/>
      <c r="N1273" s="95"/>
      <c r="O1273" s="95"/>
      <c r="P1273" s="95"/>
    </row>
    <row r="1274" spans="1:76" s="81" customFormat="1" x14ac:dyDescent="0.25">
      <c r="A1274" s="110"/>
      <c r="B1274" s="95"/>
      <c r="C1274" s="95"/>
      <c r="D1274" s="76" t="s">
        <v>1408</v>
      </c>
      <c r="E1274" s="76" t="s">
        <v>841</v>
      </c>
      <c r="F1274" s="95"/>
      <c r="G1274" s="96">
        <v>42.173999999999999</v>
      </c>
      <c r="H1274" s="95"/>
      <c r="I1274" s="95"/>
      <c r="J1274" s="95"/>
      <c r="K1274" s="95"/>
      <c r="L1274" s="95"/>
      <c r="M1274" s="95"/>
      <c r="N1274" s="95"/>
      <c r="O1274" s="95"/>
      <c r="P1274" s="95"/>
    </row>
    <row r="1275" spans="1:76" s="81" customFormat="1" x14ac:dyDescent="0.25">
      <c r="A1275" s="110"/>
      <c r="B1275" s="95"/>
      <c r="C1275" s="95"/>
      <c r="D1275" s="76" t="s">
        <v>1409</v>
      </c>
      <c r="E1275" s="76" t="s">
        <v>843</v>
      </c>
      <c r="F1275" s="95"/>
      <c r="G1275" s="96">
        <v>13.88</v>
      </c>
      <c r="H1275" s="95"/>
      <c r="I1275" s="95"/>
      <c r="J1275" s="95"/>
      <c r="K1275" s="95"/>
      <c r="L1275" s="95"/>
      <c r="M1275" s="95"/>
      <c r="N1275" s="95"/>
      <c r="O1275" s="95"/>
      <c r="P1275" s="95"/>
    </row>
    <row r="1276" spans="1:76" s="81" customFormat="1" x14ac:dyDescent="0.25">
      <c r="A1276" s="110"/>
      <c r="B1276" s="95"/>
      <c r="C1276" s="95"/>
      <c r="D1276" s="76" t="s">
        <v>1410</v>
      </c>
      <c r="E1276" s="76" t="s">
        <v>834</v>
      </c>
      <c r="F1276" s="95"/>
      <c r="G1276" s="96">
        <v>40.29</v>
      </c>
      <c r="H1276" s="95"/>
      <c r="I1276" s="95"/>
      <c r="J1276" s="95"/>
      <c r="K1276" s="95"/>
      <c r="L1276" s="95"/>
      <c r="M1276" s="95"/>
      <c r="N1276" s="95"/>
      <c r="O1276" s="95"/>
      <c r="P1276" s="95"/>
    </row>
    <row r="1277" spans="1:76" s="81" customFormat="1" x14ac:dyDescent="0.25">
      <c r="A1277" s="110"/>
      <c r="B1277" s="95"/>
      <c r="C1277" s="95"/>
      <c r="D1277" s="76" t="s">
        <v>54</v>
      </c>
      <c r="E1277" s="76" t="s">
        <v>835</v>
      </c>
      <c r="F1277" s="95"/>
      <c r="G1277" s="96">
        <v>0</v>
      </c>
      <c r="H1277" s="95"/>
      <c r="I1277" s="95"/>
      <c r="J1277" s="95"/>
      <c r="K1277" s="95"/>
      <c r="L1277" s="95"/>
      <c r="M1277" s="95"/>
      <c r="N1277" s="95"/>
      <c r="O1277" s="95"/>
      <c r="P1277" s="95"/>
    </row>
    <row r="1278" spans="1:76" s="81" customFormat="1" x14ac:dyDescent="0.25">
      <c r="A1278" s="110"/>
      <c r="B1278" s="95"/>
      <c r="C1278" s="95"/>
      <c r="D1278" s="76" t="s">
        <v>1411</v>
      </c>
      <c r="E1278" s="76" t="s">
        <v>54</v>
      </c>
      <c r="F1278" s="95"/>
      <c r="G1278" s="96">
        <v>510.66300000000001</v>
      </c>
      <c r="H1278" s="95"/>
      <c r="I1278" s="95"/>
      <c r="J1278" s="95"/>
      <c r="K1278" s="95"/>
      <c r="L1278" s="95"/>
      <c r="M1278" s="95"/>
      <c r="N1278" s="95"/>
      <c r="O1278" s="95"/>
      <c r="P1278" s="95"/>
    </row>
    <row r="1279" spans="1:76" s="81" customFormat="1" x14ac:dyDescent="0.25">
      <c r="A1279" s="110"/>
      <c r="B1279" s="95"/>
      <c r="C1279" s="95"/>
      <c r="D1279" s="76" t="s">
        <v>54</v>
      </c>
      <c r="E1279" s="76" t="s">
        <v>837</v>
      </c>
      <c r="F1279" s="95"/>
      <c r="G1279" s="96">
        <v>0</v>
      </c>
      <c r="H1279" s="95"/>
      <c r="I1279" s="95"/>
      <c r="J1279" s="95"/>
      <c r="K1279" s="95"/>
      <c r="L1279" s="95"/>
      <c r="M1279" s="95"/>
      <c r="N1279" s="95"/>
      <c r="O1279" s="95"/>
      <c r="P1279" s="95"/>
    </row>
    <row r="1280" spans="1:76" s="81" customFormat="1" x14ac:dyDescent="0.25">
      <c r="A1280" s="110"/>
      <c r="B1280" s="95"/>
      <c r="C1280" s="95"/>
      <c r="D1280" s="76" t="s">
        <v>54</v>
      </c>
      <c r="E1280" s="76" t="s">
        <v>443</v>
      </c>
      <c r="F1280" s="95"/>
      <c r="G1280" s="96">
        <v>0</v>
      </c>
      <c r="H1280" s="95"/>
      <c r="I1280" s="95"/>
      <c r="J1280" s="95"/>
      <c r="K1280" s="95"/>
      <c r="L1280" s="95"/>
      <c r="M1280" s="95"/>
      <c r="N1280" s="95"/>
      <c r="O1280" s="95"/>
      <c r="P1280" s="95"/>
    </row>
    <row r="1281" spans="1:76" s="81" customFormat="1" x14ac:dyDescent="0.25">
      <c r="A1281" s="110"/>
      <c r="B1281" s="95"/>
      <c r="C1281" s="95"/>
      <c r="D1281" s="76" t="s">
        <v>1412</v>
      </c>
      <c r="E1281" s="76" t="s">
        <v>839</v>
      </c>
      <c r="F1281" s="95"/>
      <c r="G1281" s="96">
        <v>266.63436999999999</v>
      </c>
      <c r="H1281" s="95"/>
      <c r="I1281" s="95"/>
      <c r="J1281" s="95"/>
      <c r="K1281" s="95"/>
      <c r="L1281" s="95"/>
      <c r="M1281" s="95"/>
      <c r="N1281" s="95"/>
      <c r="O1281" s="95"/>
      <c r="P1281" s="95"/>
    </row>
    <row r="1282" spans="1:76" s="81" customFormat="1" ht="25.5" x14ac:dyDescent="0.25">
      <c r="A1282" s="66" t="s">
        <v>1459</v>
      </c>
      <c r="B1282" s="72" t="s">
        <v>55</v>
      </c>
      <c r="C1282" s="72" t="s">
        <v>1456</v>
      </c>
      <c r="D1282" s="174" t="s">
        <v>1457</v>
      </c>
      <c r="E1282" s="174"/>
      <c r="F1282" s="72" t="s">
        <v>192</v>
      </c>
      <c r="G1282" s="90">
        <v>946.36136999999997</v>
      </c>
      <c r="H1282" s="91"/>
      <c r="I1282" s="92" t="s">
        <v>63</v>
      </c>
      <c r="J1282" s="90">
        <f>G1282*AO1282</f>
        <v>0</v>
      </c>
      <c r="K1282" s="90">
        <f>G1282*AP1282</f>
        <v>0</v>
      </c>
      <c r="L1282" s="90">
        <f>G1282*H1282</f>
        <v>0</v>
      </c>
      <c r="M1282" s="90">
        <f>L1282*(1+BW1282/100)</f>
        <v>0</v>
      </c>
      <c r="N1282" s="90">
        <v>3.3E-4</v>
      </c>
      <c r="O1282" s="90">
        <f>G1282*N1282</f>
        <v>0.31229925209999998</v>
      </c>
      <c r="P1282" s="92" t="s">
        <v>64</v>
      </c>
      <c r="Z1282" s="93">
        <f>IF(AQ1282="5",BJ1282,0)</f>
        <v>0</v>
      </c>
      <c r="AB1282" s="93">
        <f>IF(AQ1282="1",BH1282,0)</f>
        <v>0</v>
      </c>
      <c r="AC1282" s="93">
        <f>IF(AQ1282="1",BI1282,0)</f>
        <v>0</v>
      </c>
      <c r="AD1282" s="93">
        <f>IF(AQ1282="7",BH1282,0)</f>
        <v>0</v>
      </c>
      <c r="AE1282" s="93">
        <f>IF(AQ1282="7",BI1282,0)</f>
        <v>0</v>
      </c>
      <c r="AF1282" s="93">
        <f>IF(AQ1282="2",BH1282,0)</f>
        <v>0</v>
      </c>
      <c r="AG1282" s="93">
        <f>IF(AQ1282="2",BI1282,0)</f>
        <v>0</v>
      </c>
      <c r="AH1282" s="93">
        <f>IF(AQ1282="0",BJ1282,0)</f>
        <v>0</v>
      </c>
      <c r="AI1282" s="88" t="s">
        <v>55</v>
      </c>
      <c r="AJ1282" s="93">
        <f>IF(AN1282=0,L1282,0)</f>
        <v>0</v>
      </c>
      <c r="AK1282" s="93">
        <f>IF(AN1282=12,L1282,0)</f>
        <v>0</v>
      </c>
      <c r="AL1282" s="93">
        <f>IF(AN1282=21,L1282,0)</f>
        <v>0</v>
      </c>
      <c r="AN1282" s="93">
        <v>21</v>
      </c>
      <c r="AO1282" s="93">
        <f>H1282*0.726204167</f>
        <v>0</v>
      </c>
      <c r="AP1282" s="93">
        <f>H1282*(1-0.726204167)</f>
        <v>0</v>
      </c>
      <c r="AQ1282" s="94" t="s">
        <v>148</v>
      </c>
      <c r="AV1282" s="93">
        <f>AW1282+AX1282</f>
        <v>0</v>
      </c>
      <c r="AW1282" s="93">
        <f>G1282*AO1282</f>
        <v>0</v>
      </c>
      <c r="AX1282" s="93">
        <f>G1282*AP1282</f>
        <v>0</v>
      </c>
      <c r="AY1282" s="94" t="s">
        <v>1453</v>
      </c>
      <c r="AZ1282" s="94" t="s">
        <v>1360</v>
      </c>
      <c r="BA1282" s="88" t="s">
        <v>67</v>
      </c>
      <c r="BC1282" s="93">
        <f>AW1282+AX1282</f>
        <v>0</v>
      </c>
      <c r="BD1282" s="93">
        <f>H1282/(100-BE1282)*100</f>
        <v>0</v>
      </c>
      <c r="BE1282" s="93">
        <v>0</v>
      </c>
      <c r="BF1282" s="93">
        <f>O1282</f>
        <v>0.31229925209999998</v>
      </c>
      <c r="BH1282" s="93">
        <f>G1282*AO1282</f>
        <v>0</v>
      </c>
      <c r="BI1282" s="93">
        <f>G1282*AP1282</f>
        <v>0</v>
      </c>
      <c r="BJ1282" s="93">
        <f>G1282*H1282</f>
        <v>0</v>
      </c>
      <c r="BK1282" s="93"/>
      <c r="BL1282" s="93">
        <v>712</v>
      </c>
      <c r="BW1282" s="93" t="str">
        <f>I1282</f>
        <v>21</v>
      </c>
      <c r="BX1282" s="2" t="s">
        <v>1457</v>
      </c>
    </row>
    <row r="1283" spans="1:76" s="81" customFormat="1" ht="13.5" customHeight="1" x14ac:dyDescent="0.25">
      <c r="A1283" s="110"/>
      <c r="B1283" s="95"/>
      <c r="C1283" s="95"/>
      <c r="D1283" s="179" t="s">
        <v>1458</v>
      </c>
      <c r="E1283" s="179"/>
      <c r="F1283" s="179"/>
      <c r="G1283" s="179"/>
      <c r="H1283" s="179"/>
      <c r="I1283" s="179"/>
      <c r="J1283" s="179"/>
      <c r="K1283" s="179"/>
      <c r="L1283" s="179"/>
      <c r="M1283" s="179"/>
      <c r="N1283" s="179"/>
      <c r="O1283" s="179"/>
      <c r="P1283" s="179"/>
    </row>
    <row r="1284" spans="1:76" s="81" customFormat="1" x14ac:dyDescent="0.25">
      <c r="A1284" s="110"/>
      <c r="B1284" s="95"/>
      <c r="C1284" s="95"/>
      <c r="D1284" s="76" t="s">
        <v>54</v>
      </c>
      <c r="E1284" s="76" t="s">
        <v>831</v>
      </c>
      <c r="F1284" s="95"/>
      <c r="G1284" s="96">
        <v>0</v>
      </c>
      <c r="H1284" s="95"/>
      <c r="I1284" s="95"/>
      <c r="J1284" s="95"/>
      <c r="K1284" s="95"/>
      <c r="L1284" s="95"/>
      <c r="M1284" s="95"/>
      <c r="N1284" s="95"/>
      <c r="O1284" s="95"/>
      <c r="P1284" s="95"/>
    </row>
    <row r="1285" spans="1:76" s="81" customFormat="1" x14ac:dyDescent="0.25">
      <c r="A1285" s="110"/>
      <c r="B1285" s="95"/>
      <c r="C1285" s="95"/>
      <c r="D1285" s="76" t="s">
        <v>54</v>
      </c>
      <c r="E1285" s="76" t="s">
        <v>832</v>
      </c>
      <c r="F1285" s="95"/>
      <c r="G1285" s="96">
        <v>0</v>
      </c>
      <c r="H1285" s="95"/>
      <c r="I1285" s="95"/>
      <c r="J1285" s="95"/>
      <c r="K1285" s="95"/>
      <c r="L1285" s="95"/>
      <c r="M1285" s="95"/>
      <c r="N1285" s="95"/>
      <c r="O1285" s="95"/>
      <c r="P1285" s="95"/>
    </row>
    <row r="1286" spans="1:76" s="81" customFormat="1" x14ac:dyDescent="0.25">
      <c r="A1286" s="110"/>
      <c r="B1286" s="95"/>
      <c r="C1286" s="95"/>
      <c r="D1286" s="76" t="s">
        <v>1408</v>
      </c>
      <c r="E1286" s="76" t="s">
        <v>841</v>
      </c>
      <c r="F1286" s="95"/>
      <c r="G1286" s="96">
        <v>42.173999999999999</v>
      </c>
      <c r="H1286" s="95"/>
      <c r="I1286" s="95"/>
      <c r="J1286" s="95"/>
      <c r="K1286" s="95"/>
      <c r="L1286" s="95"/>
      <c r="M1286" s="95"/>
      <c r="N1286" s="95"/>
      <c r="O1286" s="95"/>
      <c r="P1286" s="95"/>
    </row>
    <row r="1287" spans="1:76" s="81" customFormat="1" x14ac:dyDescent="0.25">
      <c r="A1287" s="110"/>
      <c r="B1287" s="95"/>
      <c r="C1287" s="95"/>
      <c r="D1287" s="76" t="s">
        <v>1409</v>
      </c>
      <c r="E1287" s="76" t="s">
        <v>843</v>
      </c>
      <c r="F1287" s="95"/>
      <c r="G1287" s="96">
        <v>13.88</v>
      </c>
      <c r="H1287" s="95"/>
      <c r="I1287" s="95"/>
      <c r="J1287" s="95"/>
      <c r="K1287" s="95"/>
      <c r="L1287" s="95"/>
      <c r="M1287" s="95"/>
      <c r="N1287" s="95"/>
      <c r="O1287" s="95"/>
      <c r="P1287" s="95"/>
    </row>
    <row r="1288" spans="1:76" s="81" customFormat="1" x14ac:dyDescent="0.25">
      <c r="A1288" s="110"/>
      <c r="B1288" s="95"/>
      <c r="C1288" s="95"/>
      <c r="D1288" s="76" t="s">
        <v>1410</v>
      </c>
      <c r="E1288" s="76" t="s">
        <v>834</v>
      </c>
      <c r="F1288" s="95"/>
      <c r="G1288" s="96">
        <v>40.29</v>
      </c>
      <c r="H1288" s="95"/>
      <c r="I1288" s="95"/>
      <c r="J1288" s="95"/>
      <c r="K1288" s="95"/>
      <c r="L1288" s="95"/>
      <c r="M1288" s="95"/>
      <c r="N1288" s="95"/>
      <c r="O1288" s="95"/>
      <c r="P1288" s="95"/>
    </row>
    <row r="1289" spans="1:76" s="81" customFormat="1" x14ac:dyDescent="0.25">
      <c r="A1289" s="110"/>
      <c r="B1289" s="95"/>
      <c r="C1289" s="95"/>
      <c r="D1289" s="76" t="s">
        <v>54</v>
      </c>
      <c r="E1289" s="76" t="s">
        <v>835</v>
      </c>
      <c r="F1289" s="95"/>
      <c r="G1289" s="96">
        <v>0</v>
      </c>
      <c r="H1289" s="95"/>
      <c r="I1289" s="95"/>
      <c r="J1289" s="95"/>
      <c r="K1289" s="95"/>
      <c r="L1289" s="95"/>
      <c r="M1289" s="95"/>
      <c r="N1289" s="95"/>
      <c r="O1289" s="95"/>
      <c r="P1289" s="95"/>
    </row>
    <row r="1290" spans="1:76" s="81" customFormat="1" x14ac:dyDescent="0.25">
      <c r="A1290" s="110"/>
      <c r="B1290" s="95"/>
      <c r="C1290" s="95"/>
      <c r="D1290" s="76" t="s">
        <v>1411</v>
      </c>
      <c r="E1290" s="76" t="s">
        <v>54</v>
      </c>
      <c r="F1290" s="95"/>
      <c r="G1290" s="96">
        <v>510.66300000000001</v>
      </c>
      <c r="H1290" s="95"/>
      <c r="I1290" s="95"/>
      <c r="J1290" s="95"/>
      <c r="K1290" s="95"/>
      <c r="L1290" s="95"/>
      <c r="M1290" s="95"/>
      <c r="N1290" s="95"/>
      <c r="O1290" s="95"/>
      <c r="P1290" s="95"/>
    </row>
    <row r="1291" spans="1:76" s="81" customFormat="1" x14ac:dyDescent="0.25">
      <c r="A1291" s="110"/>
      <c r="B1291" s="95"/>
      <c r="C1291" s="95"/>
      <c r="D1291" s="76" t="s">
        <v>54</v>
      </c>
      <c r="E1291" s="76" t="s">
        <v>837</v>
      </c>
      <c r="F1291" s="95"/>
      <c r="G1291" s="96">
        <v>0</v>
      </c>
      <c r="H1291" s="95"/>
      <c r="I1291" s="95"/>
      <c r="J1291" s="95"/>
      <c r="K1291" s="95"/>
      <c r="L1291" s="95"/>
      <c r="M1291" s="95"/>
      <c r="N1291" s="95"/>
      <c r="O1291" s="95"/>
      <c r="P1291" s="95"/>
    </row>
    <row r="1292" spans="1:76" s="81" customFormat="1" x14ac:dyDescent="0.25">
      <c r="A1292" s="110"/>
      <c r="B1292" s="95"/>
      <c r="C1292" s="95"/>
      <c r="D1292" s="76" t="s">
        <v>54</v>
      </c>
      <c r="E1292" s="76" t="s">
        <v>443</v>
      </c>
      <c r="F1292" s="95"/>
      <c r="G1292" s="96">
        <v>0</v>
      </c>
      <c r="H1292" s="95"/>
      <c r="I1292" s="95"/>
      <c r="J1292" s="95"/>
      <c r="K1292" s="95"/>
      <c r="L1292" s="95"/>
      <c r="M1292" s="95"/>
      <c r="N1292" s="95"/>
      <c r="O1292" s="95"/>
      <c r="P1292" s="95"/>
    </row>
    <row r="1293" spans="1:76" s="81" customFormat="1" x14ac:dyDescent="0.25">
      <c r="A1293" s="110"/>
      <c r="B1293" s="95"/>
      <c r="C1293" s="95"/>
      <c r="D1293" s="76" t="s">
        <v>1412</v>
      </c>
      <c r="E1293" s="76" t="s">
        <v>839</v>
      </c>
      <c r="F1293" s="95"/>
      <c r="G1293" s="96">
        <v>266.63436999999999</v>
      </c>
      <c r="H1293" s="95"/>
      <c r="I1293" s="95"/>
      <c r="J1293" s="95"/>
      <c r="K1293" s="95"/>
      <c r="L1293" s="95"/>
      <c r="M1293" s="95"/>
      <c r="N1293" s="95"/>
      <c r="O1293" s="95"/>
      <c r="P1293" s="95"/>
    </row>
    <row r="1294" spans="1:76" s="81" customFormat="1" x14ac:dyDescent="0.25">
      <c r="A1294" s="110"/>
      <c r="B1294" s="95"/>
      <c r="C1294" s="95"/>
      <c r="D1294" s="76" t="s">
        <v>54</v>
      </c>
      <c r="E1294" s="76" t="s">
        <v>1216</v>
      </c>
      <c r="F1294" s="95"/>
      <c r="G1294" s="96">
        <v>0</v>
      </c>
      <c r="H1294" s="95"/>
      <c r="I1294" s="95"/>
      <c r="J1294" s="95"/>
      <c r="K1294" s="95"/>
      <c r="L1294" s="95"/>
      <c r="M1294" s="95"/>
      <c r="N1294" s="95"/>
      <c r="O1294" s="95"/>
      <c r="P1294" s="95"/>
    </row>
    <row r="1295" spans="1:76" s="81" customFormat="1" x14ac:dyDescent="0.25">
      <c r="A1295" s="110"/>
      <c r="B1295" s="95"/>
      <c r="C1295" s="95"/>
      <c r="D1295" s="76" t="s">
        <v>54</v>
      </c>
      <c r="E1295" s="76" t="s">
        <v>443</v>
      </c>
      <c r="F1295" s="95"/>
      <c r="G1295" s="96">
        <v>0</v>
      </c>
      <c r="H1295" s="95"/>
      <c r="I1295" s="95"/>
      <c r="J1295" s="95"/>
      <c r="K1295" s="95"/>
      <c r="L1295" s="95"/>
      <c r="M1295" s="95"/>
      <c r="N1295" s="95"/>
      <c r="O1295" s="95"/>
      <c r="P1295" s="95"/>
    </row>
    <row r="1296" spans="1:76" s="81" customFormat="1" x14ac:dyDescent="0.25">
      <c r="A1296" s="110"/>
      <c r="B1296" s="95"/>
      <c r="C1296" s="95"/>
      <c r="D1296" s="76" t="s">
        <v>1217</v>
      </c>
      <c r="E1296" s="76" t="s">
        <v>54</v>
      </c>
      <c r="F1296" s="95"/>
      <c r="G1296" s="96">
        <v>72.72</v>
      </c>
      <c r="H1296" s="95"/>
      <c r="I1296" s="95"/>
      <c r="J1296" s="95"/>
      <c r="K1296" s="95"/>
      <c r="L1296" s="95"/>
      <c r="M1296" s="95"/>
      <c r="N1296" s="95"/>
      <c r="O1296" s="95"/>
      <c r="P1296" s="95"/>
    </row>
    <row r="1297" spans="1:76" s="81" customFormat="1" ht="25.5" x14ac:dyDescent="0.25">
      <c r="A1297" s="66" t="s">
        <v>1462</v>
      </c>
      <c r="B1297" s="72" t="s">
        <v>55</v>
      </c>
      <c r="C1297" s="72" t="s">
        <v>1460</v>
      </c>
      <c r="D1297" s="174" t="s">
        <v>1461</v>
      </c>
      <c r="E1297" s="174"/>
      <c r="F1297" s="72" t="s">
        <v>192</v>
      </c>
      <c r="G1297" s="90">
        <v>946.36136999999997</v>
      </c>
      <c r="H1297" s="91"/>
      <c r="I1297" s="92" t="s">
        <v>63</v>
      </c>
      <c r="J1297" s="90">
        <f>G1297*AO1297</f>
        <v>0</v>
      </c>
      <c r="K1297" s="90">
        <f>G1297*AP1297</f>
        <v>0</v>
      </c>
      <c r="L1297" s="90">
        <f>G1297*H1297</f>
        <v>0</v>
      </c>
      <c r="M1297" s="90">
        <f>L1297*(1+BW1297/100)</f>
        <v>0</v>
      </c>
      <c r="N1297" s="90">
        <v>3.5E-4</v>
      </c>
      <c r="O1297" s="90">
        <f>G1297*N1297</f>
        <v>0.3312264795</v>
      </c>
      <c r="P1297" s="92" t="s">
        <v>64</v>
      </c>
      <c r="Z1297" s="93">
        <f>IF(AQ1297="5",BJ1297,0)</f>
        <v>0</v>
      </c>
      <c r="AB1297" s="93">
        <f>IF(AQ1297="1",BH1297,0)</f>
        <v>0</v>
      </c>
      <c r="AC1297" s="93">
        <f>IF(AQ1297="1",BI1297,0)</f>
        <v>0</v>
      </c>
      <c r="AD1297" s="93">
        <f>IF(AQ1297="7",BH1297,0)</f>
        <v>0</v>
      </c>
      <c r="AE1297" s="93">
        <f>IF(AQ1297="7",BI1297,0)</f>
        <v>0</v>
      </c>
      <c r="AF1297" s="93">
        <f>IF(AQ1297="2",BH1297,0)</f>
        <v>0</v>
      </c>
      <c r="AG1297" s="93">
        <f>IF(AQ1297="2",BI1297,0)</f>
        <v>0</v>
      </c>
      <c r="AH1297" s="93">
        <f>IF(AQ1297="0",BJ1297,0)</f>
        <v>0</v>
      </c>
      <c r="AI1297" s="88" t="s">
        <v>55</v>
      </c>
      <c r="AJ1297" s="93">
        <f>IF(AN1297=0,L1297,0)</f>
        <v>0</v>
      </c>
      <c r="AK1297" s="93">
        <f>IF(AN1297=12,L1297,0)</f>
        <v>0</v>
      </c>
      <c r="AL1297" s="93">
        <f>IF(AN1297=21,L1297,0)</f>
        <v>0</v>
      </c>
      <c r="AN1297" s="93">
        <v>21</v>
      </c>
      <c r="AO1297" s="93">
        <f>H1297*0.107114627</f>
        <v>0</v>
      </c>
      <c r="AP1297" s="93">
        <f>H1297*(1-0.107114627)</f>
        <v>0</v>
      </c>
      <c r="AQ1297" s="94" t="s">
        <v>148</v>
      </c>
      <c r="AV1297" s="93">
        <f>AW1297+AX1297</f>
        <v>0</v>
      </c>
      <c r="AW1297" s="93">
        <f>G1297*AO1297</f>
        <v>0</v>
      </c>
      <c r="AX1297" s="93">
        <f>G1297*AP1297</f>
        <v>0</v>
      </c>
      <c r="AY1297" s="94" t="s">
        <v>1453</v>
      </c>
      <c r="AZ1297" s="94" t="s">
        <v>1360</v>
      </c>
      <c r="BA1297" s="88" t="s">
        <v>67</v>
      </c>
      <c r="BC1297" s="93">
        <f>AW1297+AX1297</f>
        <v>0</v>
      </c>
      <c r="BD1297" s="93">
        <f>H1297/(100-BE1297)*100</f>
        <v>0</v>
      </c>
      <c r="BE1297" s="93">
        <v>0</v>
      </c>
      <c r="BF1297" s="93">
        <f>O1297</f>
        <v>0.3312264795</v>
      </c>
      <c r="BH1297" s="93">
        <f>G1297*AO1297</f>
        <v>0</v>
      </c>
      <c r="BI1297" s="93">
        <f>G1297*AP1297</f>
        <v>0</v>
      </c>
      <c r="BJ1297" s="93">
        <f>G1297*H1297</f>
        <v>0</v>
      </c>
      <c r="BK1297" s="93"/>
      <c r="BL1297" s="93">
        <v>712</v>
      </c>
      <c r="BW1297" s="93" t="str">
        <f>I1297</f>
        <v>21</v>
      </c>
      <c r="BX1297" s="2" t="s">
        <v>1461</v>
      </c>
    </row>
    <row r="1298" spans="1:76" s="81" customFormat="1" x14ac:dyDescent="0.25">
      <c r="A1298" s="110"/>
      <c r="B1298" s="95"/>
      <c r="C1298" s="95"/>
      <c r="D1298" s="76" t="s">
        <v>54</v>
      </c>
      <c r="E1298" s="76" t="s">
        <v>831</v>
      </c>
      <c r="F1298" s="95"/>
      <c r="G1298" s="96">
        <v>0</v>
      </c>
      <c r="H1298" s="97"/>
      <c r="I1298" s="95"/>
      <c r="J1298" s="95"/>
      <c r="K1298" s="95"/>
      <c r="L1298" s="95"/>
      <c r="M1298" s="95"/>
      <c r="N1298" s="95"/>
      <c r="O1298" s="95"/>
      <c r="P1298" s="95"/>
    </row>
    <row r="1299" spans="1:76" s="81" customFormat="1" x14ac:dyDescent="0.25">
      <c r="A1299" s="110"/>
      <c r="B1299" s="95"/>
      <c r="C1299" s="95"/>
      <c r="D1299" s="76" t="s">
        <v>54</v>
      </c>
      <c r="E1299" s="76" t="s">
        <v>832</v>
      </c>
      <c r="F1299" s="95"/>
      <c r="G1299" s="96">
        <v>0</v>
      </c>
      <c r="H1299" s="97"/>
      <c r="I1299" s="95"/>
      <c r="J1299" s="95"/>
      <c r="K1299" s="95"/>
      <c r="L1299" s="95"/>
      <c r="M1299" s="95"/>
      <c r="N1299" s="95"/>
      <c r="O1299" s="95"/>
      <c r="P1299" s="95"/>
    </row>
    <row r="1300" spans="1:76" s="81" customFormat="1" x14ac:dyDescent="0.25">
      <c r="A1300" s="110"/>
      <c r="B1300" s="95"/>
      <c r="C1300" s="95"/>
      <c r="D1300" s="76" t="s">
        <v>1408</v>
      </c>
      <c r="E1300" s="76" t="s">
        <v>841</v>
      </c>
      <c r="F1300" s="95"/>
      <c r="G1300" s="96">
        <v>42.173999999999999</v>
      </c>
      <c r="H1300" s="97"/>
      <c r="I1300" s="95"/>
      <c r="J1300" s="95"/>
      <c r="K1300" s="95"/>
      <c r="L1300" s="95"/>
      <c r="M1300" s="95"/>
      <c r="N1300" s="95"/>
      <c r="O1300" s="95"/>
      <c r="P1300" s="95"/>
    </row>
    <row r="1301" spans="1:76" s="81" customFormat="1" x14ac:dyDescent="0.25">
      <c r="A1301" s="110"/>
      <c r="B1301" s="95"/>
      <c r="C1301" s="95"/>
      <c r="D1301" s="76" t="s">
        <v>1409</v>
      </c>
      <c r="E1301" s="76" t="s">
        <v>843</v>
      </c>
      <c r="F1301" s="95"/>
      <c r="G1301" s="96">
        <v>13.88</v>
      </c>
      <c r="H1301" s="97"/>
      <c r="I1301" s="95"/>
      <c r="J1301" s="95"/>
      <c r="K1301" s="95"/>
      <c r="L1301" s="95"/>
      <c r="M1301" s="95"/>
      <c r="N1301" s="95"/>
      <c r="O1301" s="95"/>
      <c r="P1301" s="95"/>
    </row>
    <row r="1302" spans="1:76" s="81" customFormat="1" x14ac:dyDescent="0.25">
      <c r="A1302" s="110"/>
      <c r="B1302" s="95"/>
      <c r="C1302" s="95"/>
      <c r="D1302" s="76" t="s">
        <v>1410</v>
      </c>
      <c r="E1302" s="76" t="s">
        <v>834</v>
      </c>
      <c r="F1302" s="95"/>
      <c r="G1302" s="96">
        <v>40.29</v>
      </c>
      <c r="H1302" s="97"/>
      <c r="I1302" s="95"/>
      <c r="J1302" s="95"/>
      <c r="K1302" s="95"/>
      <c r="L1302" s="95"/>
      <c r="M1302" s="95"/>
      <c r="N1302" s="95"/>
      <c r="O1302" s="95"/>
      <c r="P1302" s="95"/>
    </row>
    <row r="1303" spans="1:76" s="81" customFormat="1" x14ac:dyDescent="0.25">
      <c r="A1303" s="110"/>
      <c r="B1303" s="95"/>
      <c r="C1303" s="95"/>
      <c r="D1303" s="76" t="s">
        <v>54</v>
      </c>
      <c r="E1303" s="76" t="s">
        <v>835</v>
      </c>
      <c r="F1303" s="95"/>
      <c r="G1303" s="96">
        <v>0</v>
      </c>
      <c r="H1303" s="97"/>
      <c r="I1303" s="95"/>
      <c r="J1303" s="95"/>
      <c r="K1303" s="95"/>
      <c r="L1303" s="95"/>
      <c r="M1303" s="95"/>
      <c r="N1303" s="95"/>
      <c r="O1303" s="95"/>
      <c r="P1303" s="95"/>
    </row>
    <row r="1304" spans="1:76" s="81" customFormat="1" x14ac:dyDescent="0.25">
      <c r="A1304" s="110"/>
      <c r="B1304" s="95"/>
      <c r="C1304" s="95"/>
      <c r="D1304" s="76" t="s">
        <v>1411</v>
      </c>
      <c r="E1304" s="76" t="s">
        <v>54</v>
      </c>
      <c r="F1304" s="95"/>
      <c r="G1304" s="96">
        <v>510.66300000000001</v>
      </c>
      <c r="H1304" s="97"/>
      <c r="I1304" s="95"/>
      <c r="J1304" s="95"/>
      <c r="K1304" s="95"/>
      <c r="L1304" s="95"/>
      <c r="M1304" s="95"/>
      <c r="N1304" s="95"/>
      <c r="O1304" s="95"/>
      <c r="P1304" s="95"/>
    </row>
    <row r="1305" spans="1:76" s="81" customFormat="1" x14ac:dyDescent="0.25">
      <c r="A1305" s="110"/>
      <c r="B1305" s="95"/>
      <c r="C1305" s="95"/>
      <c r="D1305" s="76" t="s">
        <v>54</v>
      </c>
      <c r="E1305" s="76" t="s">
        <v>837</v>
      </c>
      <c r="F1305" s="95"/>
      <c r="G1305" s="96">
        <v>0</v>
      </c>
      <c r="H1305" s="97"/>
      <c r="I1305" s="95"/>
      <c r="J1305" s="95"/>
      <c r="K1305" s="95"/>
      <c r="L1305" s="95"/>
      <c r="M1305" s="95"/>
      <c r="N1305" s="95"/>
      <c r="O1305" s="95"/>
      <c r="P1305" s="95"/>
    </row>
    <row r="1306" spans="1:76" s="81" customFormat="1" x14ac:dyDescent="0.25">
      <c r="A1306" s="110"/>
      <c r="B1306" s="95"/>
      <c r="C1306" s="95"/>
      <c r="D1306" s="76" t="s">
        <v>54</v>
      </c>
      <c r="E1306" s="76" t="s">
        <v>443</v>
      </c>
      <c r="F1306" s="95"/>
      <c r="G1306" s="96">
        <v>0</v>
      </c>
      <c r="H1306" s="97"/>
      <c r="I1306" s="95"/>
      <c r="J1306" s="95"/>
      <c r="K1306" s="95"/>
      <c r="L1306" s="95"/>
      <c r="M1306" s="95"/>
      <c r="N1306" s="95"/>
      <c r="O1306" s="95"/>
      <c r="P1306" s="95"/>
    </row>
    <row r="1307" spans="1:76" s="81" customFormat="1" x14ac:dyDescent="0.25">
      <c r="A1307" s="110"/>
      <c r="B1307" s="95"/>
      <c r="C1307" s="95"/>
      <c r="D1307" s="76" t="s">
        <v>1412</v>
      </c>
      <c r="E1307" s="76" t="s">
        <v>839</v>
      </c>
      <c r="F1307" s="95"/>
      <c r="G1307" s="96">
        <v>266.63436999999999</v>
      </c>
      <c r="H1307" s="97"/>
      <c r="I1307" s="95"/>
      <c r="J1307" s="95"/>
      <c r="K1307" s="95"/>
      <c r="L1307" s="95"/>
      <c r="M1307" s="95"/>
      <c r="N1307" s="95"/>
      <c r="O1307" s="95"/>
      <c r="P1307" s="95"/>
    </row>
    <row r="1308" spans="1:76" s="81" customFormat="1" x14ac:dyDescent="0.25">
      <c r="A1308" s="110"/>
      <c r="B1308" s="95"/>
      <c r="C1308" s="95"/>
      <c r="D1308" s="76" t="s">
        <v>54</v>
      </c>
      <c r="E1308" s="76" t="s">
        <v>1216</v>
      </c>
      <c r="F1308" s="95"/>
      <c r="G1308" s="96">
        <v>0</v>
      </c>
      <c r="H1308" s="97"/>
      <c r="I1308" s="95"/>
      <c r="J1308" s="95"/>
      <c r="K1308" s="95"/>
      <c r="L1308" s="95"/>
      <c r="M1308" s="95"/>
      <c r="N1308" s="95"/>
      <c r="O1308" s="95"/>
      <c r="P1308" s="95"/>
    </row>
    <row r="1309" spans="1:76" s="81" customFormat="1" x14ac:dyDescent="0.25">
      <c r="A1309" s="110"/>
      <c r="B1309" s="95"/>
      <c r="C1309" s="95"/>
      <c r="D1309" s="76" t="s">
        <v>54</v>
      </c>
      <c r="E1309" s="76" t="s">
        <v>443</v>
      </c>
      <c r="F1309" s="95"/>
      <c r="G1309" s="96">
        <v>0</v>
      </c>
      <c r="H1309" s="97"/>
      <c r="I1309" s="95"/>
      <c r="J1309" s="95"/>
      <c r="K1309" s="95"/>
      <c r="L1309" s="95"/>
      <c r="M1309" s="95"/>
      <c r="N1309" s="95"/>
      <c r="O1309" s="95"/>
      <c r="P1309" s="95"/>
    </row>
    <row r="1310" spans="1:76" s="81" customFormat="1" x14ac:dyDescent="0.25">
      <c r="A1310" s="110"/>
      <c r="B1310" s="95"/>
      <c r="C1310" s="95"/>
      <c r="D1310" s="76" t="s">
        <v>1217</v>
      </c>
      <c r="E1310" s="76" t="s">
        <v>54</v>
      </c>
      <c r="F1310" s="95"/>
      <c r="G1310" s="96">
        <v>72.72</v>
      </c>
      <c r="H1310" s="97"/>
      <c r="I1310" s="95"/>
      <c r="J1310" s="95"/>
      <c r="K1310" s="95"/>
      <c r="L1310" s="95"/>
      <c r="M1310" s="95"/>
      <c r="N1310" s="95"/>
      <c r="O1310" s="95"/>
      <c r="P1310" s="95"/>
    </row>
    <row r="1311" spans="1:76" s="81" customFormat="1" ht="25.5" x14ac:dyDescent="0.25">
      <c r="A1311" s="66" t="s">
        <v>1467</v>
      </c>
      <c r="B1311" s="72" t="s">
        <v>55</v>
      </c>
      <c r="C1311" s="72" t="s">
        <v>1463</v>
      </c>
      <c r="D1311" s="174" t="s">
        <v>1464</v>
      </c>
      <c r="E1311" s="174"/>
      <c r="F1311" s="72" t="s">
        <v>192</v>
      </c>
      <c r="G1311" s="90">
        <v>1088.31558</v>
      </c>
      <c r="H1311" s="91"/>
      <c r="I1311" s="92" t="s">
        <v>63</v>
      </c>
      <c r="J1311" s="90">
        <f>G1311*AO1311</f>
        <v>0</v>
      </c>
      <c r="K1311" s="90">
        <f>G1311*AP1311</f>
        <v>0</v>
      </c>
      <c r="L1311" s="90">
        <f>G1311*H1311</f>
        <v>0</v>
      </c>
      <c r="M1311" s="90">
        <f>L1311*(1+BW1311/100)</f>
        <v>0</v>
      </c>
      <c r="N1311" s="90">
        <v>4.4999999999999997E-3</v>
      </c>
      <c r="O1311" s="90">
        <f>G1311*N1311</f>
        <v>4.8974201099999997</v>
      </c>
      <c r="P1311" s="92" t="s">
        <v>64</v>
      </c>
      <c r="Z1311" s="93">
        <f>IF(AQ1311="5",BJ1311,0)</f>
        <v>0</v>
      </c>
      <c r="AB1311" s="93">
        <f>IF(AQ1311="1",BH1311,0)</f>
        <v>0</v>
      </c>
      <c r="AC1311" s="93">
        <f>IF(AQ1311="1",BI1311,0)</f>
        <v>0</v>
      </c>
      <c r="AD1311" s="93">
        <f>IF(AQ1311="7",BH1311,0)</f>
        <v>0</v>
      </c>
      <c r="AE1311" s="93">
        <f>IF(AQ1311="7",BI1311,0)</f>
        <v>0</v>
      </c>
      <c r="AF1311" s="93">
        <f>IF(AQ1311="2",BH1311,0)</f>
        <v>0</v>
      </c>
      <c r="AG1311" s="93">
        <f>IF(AQ1311="2",BI1311,0)</f>
        <v>0</v>
      </c>
      <c r="AH1311" s="93">
        <f>IF(AQ1311="0",BJ1311,0)</f>
        <v>0</v>
      </c>
      <c r="AI1311" s="88" t="s">
        <v>55</v>
      </c>
      <c r="AJ1311" s="93">
        <f>IF(AN1311=0,L1311,0)</f>
        <v>0</v>
      </c>
      <c r="AK1311" s="93">
        <f>IF(AN1311=12,L1311,0)</f>
        <v>0</v>
      </c>
      <c r="AL1311" s="93">
        <f>IF(AN1311=21,L1311,0)</f>
        <v>0</v>
      </c>
      <c r="AN1311" s="93">
        <v>21</v>
      </c>
      <c r="AO1311" s="93">
        <f>H1311*1</f>
        <v>0</v>
      </c>
      <c r="AP1311" s="93">
        <f>H1311*(1-1)</f>
        <v>0</v>
      </c>
      <c r="AQ1311" s="94" t="s">
        <v>148</v>
      </c>
      <c r="AV1311" s="93">
        <f>AW1311+AX1311</f>
        <v>0</v>
      </c>
      <c r="AW1311" s="93">
        <f>G1311*AO1311</f>
        <v>0</v>
      </c>
      <c r="AX1311" s="93">
        <f>G1311*AP1311</f>
        <v>0</v>
      </c>
      <c r="AY1311" s="94" t="s">
        <v>1453</v>
      </c>
      <c r="AZ1311" s="94" t="s">
        <v>1360</v>
      </c>
      <c r="BA1311" s="88" t="s">
        <v>67</v>
      </c>
      <c r="BC1311" s="93">
        <f>AW1311+AX1311</f>
        <v>0</v>
      </c>
      <c r="BD1311" s="93">
        <f>H1311/(100-BE1311)*100</f>
        <v>0</v>
      </c>
      <c r="BE1311" s="93">
        <v>0</v>
      </c>
      <c r="BF1311" s="93">
        <f>O1311</f>
        <v>4.8974201099999997</v>
      </c>
      <c r="BH1311" s="93">
        <f>G1311*AO1311</f>
        <v>0</v>
      </c>
      <c r="BI1311" s="93">
        <f>G1311*AP1311</f>
        <v>0</v>
      </c>
      <c r="BJ1311" s="93">
        <f>G1311*H1311</f>
        <v>0</v>
      </c>
      <c r="BK1311" s="93"/>
      <c r="BL1311" s="93">
        <v>712</v>
      </c>
      <c r="BW1311" s="93" t="str">
        <f>I1311</f>
        <v>21</v>
      </c>
      <c r="BX1311" s="2" t="s">
        <v>1464</v>
      </c>
    </row>
    <row r="1312" spans="1:76" s="81" customFormat="1" x14ac:dyDescent="0.25">
      <c r="A1312" s="110"/>
      <c r="B1312" s="95"/>
      <c r="C1312" s="95"/>
      <c r="D1312" s="76" t="s">
        <v>1465</v>
      </c>
      <c r="E1312" s="76" t="s">
        <v>54</v>
      </c>
      <c r="F1312" s="95"/>
      <c r="G1312" s="96">
        <v>946.36136999999997</v>
      </c>
      <c r="H1312" s="97"/>
      <c r="I1312" s="95"/>
      <c r="J1312" s="95"/>
      <c r="K1312" s="95"/>
      <c r="L1312" s="95"/>
      <c r="M1312" s="95"/>
      <c r="N1312" s="95"/>
      <c r="O1312" s="95"/>
      <c r="P1312" s="95"/>
    </row>
    <row r="1313" spans="1:76" s="81" customFormat="1" x14ac:dyDescent="0.25">
      <c r="A1313" s="110"/>
      <c r="B1313" s="95"/>
      <c r="C1313" s="95"/>
      <c r="D1313" s="76" t="s">
        <v>1466</v>
      </c>
      <c r="E1313" s="76" t="s">
        <v>54</v>
      </c>
      <c r="F1313" s="95"/>
      <c r="G1313" s="96">
        <v>141.95420999999999</v>
      </c>
      <c r="H1313" s="97"/>
      <c r="I1313" s="95"/>
      <c r="J1313" s="95"/>
      <c r="K1313" s="95"/>
      <c r="L1313" s="95"/>
      <c r="M1313" s="95"/>
      <c r="N1313" s="95"/>
      <c r="O1313" s="95"/>
      <c r="P1313" s="95"/>
    </row>
    <row r="1314" spans="1:76" s="81" customFormat="1" ht="25.5" x14ac:dyDescent="0.25">
      <c r="A1314" s="66" t="s">
        <v>1473</v>
      </c>
      <c r="B1314" s="72" t="s">
        <v>55</v>
      </c>
      <c r="C1314" s="72" t="s">
        <v>1468</v>
      </c>
      <c r="D1314" s="174" t="s">
        <v>1469</v>
      </c>
      <c r="E1314" s="174"/>
      <c r="F1314" s="72" t="s">
        <v>192</v>
      </c>
      <c r="G1314" s="90">
        <v>1324.0291099999999</v>
      </c>
      <c r="H1314" s="91"/>
      <c r="I1314" s="92" t="s">
        <v>63</v>
      </c>
      <c r="J1314" s="90">
        <f>G1314*AO1314</f>
        <v>0</v>
      </c>
      <c r="K1314" s="90">
        <f>G1314*AP1314</f>
        <v>0</v>
      </c>
      <c r="L1314" s="90">
        <f>G1314*H1314</f>
        <v>0</v>
      </c>
      <c r="M1314" s="90">
        <f>L1314*(1+BW1314/100)</f>
        <v>0</v>
      </c>
      <c r="N1314" s="90">
        <v>4.0299999999999997E-3</v>
      </c>
      <c r="O1314" s="90">
        <f>G1314*N1314</f>
        <v>5.335837313299999</v>
      </c>
      <c r="P1314" s="92" t="s">
        <v>64</v>
      </c>
      <c r="Z1314" s="93">
        <f>IF(AQ1314="5",BJ1314,0)</f>
        <v>0</v>
      </c>
      <c r="AB1314" s="93">
        <f>IF(AQ1314="1",BH1314,0)</f>
        <v>0</v>
      </c>
      <c r="AC1314" s="93">
        <f>IF(AQ1314="1",BI1314,0)</f>
        <v>0</v>
      </c>
      <c r="AD1314" s="93">
        <f>IF(AQ1314="7",BH1314,0)</f>
        <v>0</v>
      </c>
      <c r="AE1314" s="93">
        <f>IF(AQ1314="7",BI1314,0)</f>
        <v>0</v>
      </c>
      <c r="AF1314" s="93">
        <f>IF(AQ1314="2",BH1314,0)</f>
        <v>0</v>
      </c>
      <c r="AG1314" s="93">
        <f>IF(AQ1314="2",BI1314,0)</f>
        <v>0</v>
      </c>
      <c r="AH1314" s="93">
        <f>IF(AQ1314="0",BJ1314,0)</f>
        <v>0</v>
      </c>
      <c r="AI1314" s="88" t="s">
        <v>55</v>
      </c>
      <c r="AJ1314" s="93">
        <f>IF(AN1314=0,L1314,0)</f>
        <v>0</v>
      </c>
      <c r="AK1314" s="93">
        <f>IF(AN1314=12,L1314,0)</f>
        <v>0</v>
      </c>
      <c r="AL1314" s="93">
        <f>IF(AN1314=21,L1314,0)</f>
        <v>0</v>
      </c>
      <c r="AN1314" s="93">
        <v>21</v>
      </c>
      <c r="AO1314" s="93">
        <f>H1314*0.754333996</f>
        <v>0</v>
      </c>
      <c r="AP1314" s="93">
        <f>H1314*(1-0.754333996)</f>
        <v>0</v>
      </c>
      <c r="AQ1314" s="94" t="s">
        <v>148</v>
      </c>
      <c r="AV1314" s="93">
        <f>AW1314+AX1314</f>
        <v>0</v>
      </c>
      <c r="AW1314" s="93">
        <f>G1314*AO1314</f>
        <v>0</v>
      </c>
      <c r="AX1314" s="93">
        <f>G1314*AP1314</f>
        <v>0</v>
      </c>
      <c r="AY1314" s="94" t="s">
        <v>1453</v>
      </c>
      <c r="AZ1314" s="94" t="s">
        <v>1360</v>
      </c>
      <c r="BA1314" s="88" t="s">
        <v>67</v>
      </c>
      <c r="BC1314" s="93">
        <f>AW1314+AX1314</f>
        <v>0</v>
      </c>
      <c r="BD1314" s="93">
        <f>H1314/(100-BE1314)*100</f>
        <v>0</v>
      </c>
      <c r="BE1314" s="93">
        <v>0</v>
      </c>
      <c r="BF1314" s="93">
        <f>O1314</f>
        <v>5.335837313299999</v>
      </c>
      <c r="BH1314" s="93">
        <f>G1314*AO1314</f>
        <v>0</v>
      </c>
      <c r="BI1314" s="93">
        <f>G1314*AP1314</f>
        <v>0</v>
      </c>
      <c r="BJ1314" s="93">
        <f>G1314*H1314</f>
        <v>0</v>
      </c>
      <c r="BK1314" s="93"/>
      <c r="BL1314" s="93">
        <v>712</v>
      </c>
      <c r="BW1314" s="93" t="str">
        <f>I1314</f>
        <v>21</v>
      </c>
      <c r="BX1314" s="2" t="s">
        <v>1469</v>
      </c>
    </row>
    <row r="1315" spans="1:76" s="81" customFormat="1" ht="13.5" customHeight="1" x14ac:dyDescent="0.25">
      <c r="A1315" s="110"/>
      <c r="B1315" s="95"/>
      <c r="C1315" s="95"/>
      <c r="D1315" s="179" t="s">
        <v>1470</v>
      </c>
      <c r="E1315" s="179"/>
      <c r="F1315" s="179"/>
      <c r="G1315" s="179"/>
      <c r="H1315" s="179"/>
      <c r="I1315" s="179"/>
      <c r="J1315" s="179"/>
      <c r="K1315" s="179"/>
      <c r="L1315" s="179"/>
      <c r="M1315" s="179"/>
      <c r="N1315" s="179"/>
      <c r="O1315" s="179"/>
      <c r="P1315" s="179"/>
    </row>
    <row r="1316" spans="1:76" s="81" customFormat="1" x14ac:dyDescent="0.25">
      <c r="A1316" s="110"/>
      <c r="B1316" s="95"/>
      <c r="C1316" s="95"/>
      <c r="D1316" s="76" t="s">
        <v>54</v>
      </c>
      <c r="E1316" s="76" t="s">
        <v>831</v>
      </c>
      <c r="F1316" s="95"/>
      <c r="G1316" s="96">
        <v>0</v>
      </c>
      <c r="H1316" s="95"/>
      <c r="I1316" s="95"/>
      <c r="J1316" s="95"/>
      <c r="K1316" s="95"/>
      <c r="L1316" s="95"/>
      <c r="M1316" s="95"/>
      <c r="N1316" s="95"/>
      <c r="O1316" s="95"/>
      <c r="P1316" s="95"/>
    </row>
    <row r="1317" spans="1:76" s="81" customFormat="1" x14ac:dyDescent="0.25">
      <c r="A1317" s="110"/>
      <c r="B1317" s="95"/>
      <c r="C1317" s="95"/>
      <c r="D1317" s="76" t="s">
        <v>54</v>
      </c>
      <c r="E1317" s="76" t="s">
        <v>832</v>
      </c>
      <c r="F1317" s="95"/>
      <c r="G1317" s="96">
        <v>0</v>
      </c>
      <c r="H1317" s="95"/>
      <c r="I1317" s="95"/>
      <c r="J1317" s="95"/>
      <c r="K1317" s="95"/>
      <c r="L1317" s="95"/>
      <c r="M1317" s="95"/>
      <c r="N1317" s="95"/>
      <c r="O1317" s="95"/>
      <c r="P1317" s="95"/>
    </row>
    <row r="1318" spans="1:76" s="81" customFormat="1" x14ac:dyDescent="0.25">
      <c r="A1318" s="110"/>
      <c r="B1318" s="95"/>
      <c r="C1318" s="95"/>
      <c r="D1318" s="76" t="s">
        <v>1408</v>
      </c>
      <c r="E1318" s="76" t="s">
        <v>841</v>
      </c>
      <c r="F1318" s="95"/>
      <c r="G1318" s="96">
        <v>42.173999999999999</v>
      </c>
      <c r="H1318" s="95"/>
      <c r="I1318" s="95"/>
      <c r="J1318" s="95"/>
      <c r="K1318" s="95"/>
      <c r="L1318" s="95"/>
      <c r="M1318" s="95"/>
      <c r="N1318" s="95"/>
      <c r="O1318" s="95"/>
      <c r="P1318" s="95"/>
    </row>
    <row r="1319" spans="1:76" s="81" customFormat="1" x14ac:dyDescent="0.25">
      <c r="A1319" s="110"/>
      <c r="B1319" s="95"/>
      <c r="C1319" s="95"/>
      <c r="D1319" s="76" t="s">
        <v>1409</v>
      </c>
      <c r="E1319" s="76" t="s">
        <v>843</v>
      </c>
      <c r="F1319" s="95"/>
      <c r="G1319" s="96">
        <v>13.88</v>
      </c>
      <c r="H1319" s="95"/>
      <c r="I1319" s="95"/>
      <c r="J1319" s="95"/>
      <c r="K1319" s="95"/>
      <c r="L1319" s="95"/>
      <c r="M1319" s="95"/>
      <c r="N1319" s="95"/>
      <c r="O1319" s="95"/>
      <c r="P1319" s="95"/>
    </row>
    <row r="1320" spans="1:76" s="81" customFormat="1" x14ac:dyDescent="0.25">
      <c r="A1320" s="110"/>
      <c r="B1320" s="95"/>
      <c r="C1320" s="95"/>
      <c r="D1320" s="76" t="s">
        <v>1410</v>
      </c>
      <c r="E1320" s="76" t="s">
        <v>834</v>
      </c>
      <c r="F1320" s="95"/>
      <c r="G1320" s="96">
        <v>40.29</v>
      </c>
      <c r="H1320" s="95"/>
      <c r="I1320" s="95"/>
      <c r="J1320" s="95"/>
      <c r="K1320" s="95"/>
      <c r="L1320" s="95"/>
      <c r="M1320" s="95"/>
      <c r="N1320" s="95"/>
      <c r="O1320" s="95"/>
      <c r="P1320" s="95"/>
    </row>
    <row r="1321" spans="1:76" s="81" customFormat="1" x14ac:dyDescent="0.25">
      <c r="A1321" s="110"/>
      <c r="B1321" s="95"/>
      <c r="C1321" s="95"/>
      <c r="D1321" s="76" t="s">
        <v>54</v>
      </c>
      <c r="E1321" s="76" t="s">
        <v>835</v>
      </c>
      <c r="F1321" s="95"/>
      <c r="G1321" s="96">
        <v>0</v>
      </c>
      <c r="H1321" s="95"/>
      <c r="I1321" s="95"/>
      <c r="J1321" s="95"/>
      <c r="K1321" s="95"/>
      <c r="L1321" s="95"/>
      <c r="M1321" s="95"/>
      <c r="N1321" s="95"/>
      <c r="O1321" s="95"/>
      <c r="P1321" s="95"/>
    </row>
    <row r="1322" spans="1:76" s="81" customFormat="1" x14ac:dyDescent="0.25">
      <c r="A1322" s="110"/>
      <c r="B1322" s="95"/>
      <c r="C1322" s="95"/>
      <c r="D1322" s="76" t="s">
        <v>1411</v>
      </c>
      <c r="E1322" s="76" t="s">
        <v>54</v>
      </c>
      <c r="F1322" s="95"/>
      <c r="G1322" s="96">
        <v>510.66300000000001</v>
      </c>
      <c r="H1322" s="95"/>
      <c r="I1322" s="95"/>
      <c r="J1322" s="95"/>
      <c r="K1322" s="95"/>
      <c r="L1322" s="95"/>
      <c r="M1322" s="95"/>
      <c r="N1322" s="95"/>
      <c r="O1322" s="95"/>
      <c r="P1322" s="95"/>
    </row>
    <row r="1323" spans="1:76" s="81" customFormat="1" x14ac:dyDescent="0.25">
      <c r="A1323" s="110"/>
      <c r="B1323" s="95"/>
      <c r="C1323" s="95"/>
      <c r="D1323" s="76" t="s">
        <v>54</v>
      </c>
      <c r="E1323" s="76" t="s">
        <v>837</v>
      </c>
      <c r="F1323" s="95"/>
      <c r="G1323" s="96">
        <v>0</v>
      </c>
      <c r="H1323" s="95"/>
      <c r="I1323" s="95"/>
      <c r="J1323" s="95"/>
      <c r="K1323" s="95"/>
      <c r="L1323" s="95"/>
      <c r="M1323" s="95"/>
      <c r="N1323" s="95"/>
      <c r="O1323" s="95"/>
      <c r="P1323" s="95"/>
    </row>
    <row r="1324" spans="1:76" s="81" customFormat="1" x14ac:dyDescent="0.25">
      <c r="A1324" s="110"/>
      <c r="B1324" s="95"/>
      <c r="C1324" s="95"/>
      <c r="D1324" s="76" t="s">
        <v>54</v>
      </c>
      <c r="E1324" s="76" t="s">
        <v>443</v>
      </c>
      <c r="F1324" s="95"/>
      <c r="G1324" s="96">
        <v>0</v>
      </c>
      <c r="H1324" s="95"/>
      <c r="I1324" s="95"/>
      <c r="J1324" s="95"/>
      <c r="K1324" s="95"/>
      <c r="L1324" s="95"/>
      <c r="M1324" s="95"/>
      <c r="N1324" s="95"/>
      <c r="O1324" s="95"/>
      <c r="P1324" s="95"/>
    </row>
    <row r="1325" spans="1:76" s="81" customFormat="1" x14ac:dyDescent="0.25">
      <c r="A1325" s="110"/>
      <c r="B1325" s="95"/>
      <c r="C1325" s="95"/>
      <c r="D1325" s="76" t="s">
        <v>1412</v>
      </c>
      <c r="E1325" s="76" t="s">
        <v>839</v>
      </c>
      <c r="F1325" s="95"/>
      <c r="G1325" s="96">
        <v>266.63436999999999</v>
      </c>
      <c r="H1325" s="95"/>
      <c r="I1325" s="95"/>
      <c r="J1325" s="95"/>
      <c r="K1325" s="95"/>
      <c r="L1325" s="95"/>
      <c r="M1325" s="95"/>
      <c r="N1325" s="95"/>
      <c r="O1325" s="95"/>
      <c r="P1325" s="95"/>
    </row>
    <row r="1326" spans="1:76" s="81" customFormat="1" x14ac:dyDescent="0.25">
      <c r="A1326" s="110"/>
      <c r="B1326" s="95"/>
      <c r="C1326" s="95"/>
      <c r="D1326" s="76" t="s">
        <v>1471</v>
      </c>
      <c r="E1326" s="76" t="s">
        <v>1472</v>
      </c>
      <c r="F1326" s="95"/>
      <c r="G1326" s="96">
        <v>450.38774000000001</v>
      </c>
      <c r="H1326" s="95"/>
      <c r="I1326" s="95"/>
      <c r="J1326" s="95"/>
      <c r="K1326" s="95"/>
      <c r="L1326" s="95"/>
      <c r="M1326" s="95"/>
      <c r="N1326" s="95"/>
      <c r="O1326" s="95"/>
      <c r="P1326" s="95"/>
    </row>
    <row r="1327" spans="1:76" s="81" customFormat="1" ht="25.5" x14ac:dyDescent="0.25">
      <c r="A1327" s="66" t="s">
        <v>1476</v>
      </c>
      <c r="B1327" s="72" t="s">
        <v>55</v>
      </c>
      <c r="C1327" s="72" t="s">
        <v>1474</v>
      </c>
      <c r="D1327" s="174" t="s">
        <v>1461</v>
      </c>
      <c r="E1327" s="174"/>
      <c r="F1327" s="72" t="s">
        <v>192</v>
      </c>
      <c r="G1327" s="90">
        <v>873.64137000000005</v>
      </c>
      <c r="H1327" s="91"/>
      <c r="I1327" s="92" t="s">
        <v>63</v>
      </c>
      <c r="J1327" s="90">
        <f>G1327*AO1327</f>
        <v>0</v>
      </c>
      <c r="K1327" s="90">
        <f>G1327*AP1327</f>
        <v>0</v>
      </c>
      <c r="L1327" s="90">
        <f>G1327*H1327</f>
        <v>0</v>
      </c>
      <c r="M1327" s="90">
        <f>L1327*(1+BW1327/100)</f>
        <v>0</v>
      </c>
      <c r="N1327" s="90">
        <v>5.5300000000000002E-3</v>
      </c>
      <c r="O1327" s="90">
        <f>G1327*N1327</f>
        <v>4.8312367761000008</v>
      </c>
      <c r="P1327" s="92" t="s">
        <v>64</v>
      </c>
      <c r="Z1327" s="93">
        <f>IF(AQ1327="5",BJ1327,0)</f>
        <v>0</v>
      </c>
      <c r="AB1327" s="93">
        <f>IF(AQ1327="1",BH1327,0)</f>
        <v>0</v>
      </c>
      <c r="AC1327" s="93">
        <f>IF(AQ1327="1",BI1327,0)</f>
        <v>0</v>
      </c>
      <c r="AD1327" s="93">
        <f>IF(AQ1327="7",BH1327,0)</f>
        <v>0</v>
      </c>
      <c r="AE1327" s="93">
        <f>IF(AQ1327="7",BI1327,0)</f>
        <v>0</v>
      </c>
      <c r="AF1327" s="93">
        <f>IF(AQ1327="2",BH1327,0)</f>
        <v>0</v>
      </c>
      <c r="AG1327" s="93">
        <f>IF(AQ1327="2",BI1327,0)</f>
        <v>0</v>
      </c>
      <c r="AH1327" s="93">
        <f>IF(AQ1327="0",BJ1327,0)</f>
        <v>0</v>
      </c>
      <c r="AI1327" s="88" t="s">
        <v>55</v>
      </c>
      <c r="AJ1327" s="93">
        <f>IF(AN1327=0,L1327,0)</f>
        <v>0</v>
      </c>
      <c r="AK1327" s="93">
        <f>IF(AN1327=12,L1327,0)</f>
        <v>0</v>
      </c>
      <c r="AL1327" s="93">
        <f>IF(AN1327=21,L1327,0)</f>
        <v>0</v>
      </c>
      <c r="AN1327" s="93">
        <v>21</v>
      </c>
      <c r="AO1327" s="93">
        <f>H1327*0.799144383</f>
        <v>0</v>
      </c>
      <c r="AP1327" s="93">
        <f>H1327*(1-0.799144383)</f>
        <v>0</v>
      </c>
      <c r="AQ1327" s="94" t="s">
        <v>148</v>
      </c>
      <c r="AV1327" s="93">
        <f>AW1327+AX1327</f>
        <v>0</v>
      </c>
      <c r="AW1327" s="93">
        <f>G1327*AO1327</f>
        <v>0</v>
      </c>
      <c r="AX1327" s="93">
        <f>G1327*AP1327</f>
        <v>0</v>
      </c>
      <c r="AY1327" s="94" t="s">
        <v>1453</v>
      </c>
      <c r="AZ1327" s="94" t="s">
        <v>1360</v>
      </c>
      <c r="BA1327" s="88" t="s">
        <v>67</v>
      </c>
      <c r="BC1327" s="93">
        <f>AW1327+AX1327</f>
        <v>0</v>
      </c>
      <c r="BD1327" s="93">
        <f>H1327/(100-BE1327)*100</f>
        <v>0</v>
      </c>
      <c r="BE1327" s="93">
        <v>0</v>
      </c>
      <c r="BF1327" s="93">
        <f>O1327</f>
        <v>4.8312367761000008</v>
      </c>
      <c r="BH1327" s="93">
        <f>G1327*AO1327</f>
        <v>0</v>
      </c>
      <c r="BI1327" s="93">
        <f>G1327*AP1327</f>
        <v>0</v>
      </c>
      <c r="BJ1327" s="93">
        <f>G1327*H1327</f>
        <v>0</v>
      </c>
      <c r="BK1327" s="93"/>
      <c r="BL1327" s="93">
        <v>712</v>
      </c>
      <c r="BW1327" s="93" t="str">
        <f>I1327</f>
        <v>21</v>
      </c>
      <c r="BX1327" s="2" t="s">
        <v>1461</v>
      </c>
    </row>
    <row r="1328" spans="1:76" s="81" customFormat="1" ht="13.5" customHeight="1" x14ac:dyDescent="0.25">
      <c r="A1328" s="110"/>
      <c r="B1328" s="95"/>
      <c r="C1328" s="95"/>
      <c r="D1328" s="179" t="s">
        <v>1475</v>
      </c>
      <c r="E1328" s="179"/>
      <c r="F1328" s="179"/>
      <c r="G1328" s="179"/>
      <c r="H1328" s="179"/>
      <c r="I1328" s="179"/>
      <c r="J1328" s="179"/>
      <c r="K1328" s="179"/>
      <c r="L1328" s="179"/>
      <c r="M1328" s="179"/>
      <c r="N1328" s="179"/>
      <c r="O1328" s="179"/>
      <c r="P1328" s="179"/>
    </row>
    <row r="1329" spans="1:76" s="81" customFormat="1" x14ac:dyDescent="0.25">
      <c r="A1329" s="110"/>
      <c r="B1329" s="95"/>
      <c r="C1329" s="95"/>
      <c r="D1329" s="76" t="s">
        <v>54</v>
      </c>
      <c r="E1329" s="76" t="s">
        <v>831</v>
      </c>
      <c r="F1329" s="95"/>
      <c r="G1329" s="96">
        <v>0</v>
      </c>
      <c r="H1329" s="95"/>
      <c r="I1329" s="95"/>
      <c r="J1329" s="95"/>
      <c r="K1329" s="95"/>
      <c r="L1329" s="95"/>
      <c r="M1329" s="95"/>
      <c r="N1329" s="95"/>
      <c r="O1329" s="95"/>
      <c r="P1329" s="95"/>
    </row>
    <row r="1330" spans="1:76" s="81" customFormat="1" x14ac:dyDescent="0.25">
      <c r="A1330" s="110"/>
      <c r="B1330" s="95"/>
      <c r="C1330" s="95"/>
      <c r="D1330" s="76" t="s">
        <v>54</v>
      </c>
      <c r="E1330" s="76" t="s">
        <v>832</v>
      </c>
      <c r="F1330" s="95"/>
      <c r="G1330" s="96">
        <v>0</v>
      </c>
      <c r="H1330" s="95"/>
      <c r="I1330" s="95"/>
      <c r="J1330" s="95"/>
      <c r="K1330" s="95"/>
      <c r="L1330" s="95"/>
      <c r="M1330" s="95"/>
      <c r="N1330" s="95"/>
      <c r="O1330" s="95"/>
      <c r="P1330" s="95"/>
    </row>
    <row r="1331" spans="1:76" s="81" customFormat="1" x14ac:dyDescent="0.25">
      <c r="A1331" s="110"/>
      <c r="B1331" s="95"/>
      <c r="C1331" s="95"/>
      <c r="D1331" s="76" t="s">
        <v>1408</v>
      </c>
      <c r="E1331" s="76" t="s">
        <v>841</v>
      </c>
      <c r="F1331" s="95"/>
      <c r="G1331" s="96">
        <v>42.173999999999999</v>
      </c>
      <c r="H1331" s="95"/>
      <c r="I1331" s="95"/>
      <c r="J1331" s="95"/>
      <c r="K1331" s="95"/>
      <c r="L1331" s="95"/>
      <c r="M1331" s="95"/>
      <c r="N1331" s="95"/>
      <c r="O1331" s="95"/>
      <c r="P1331" s="95"/>
    </row>
    <row r="1332" spans="1:76" s="81" customFormat="1" x14ac:dyDescent="0.25">
      <c r="A1332" s="110"/>
      <c r="B1332" s="95"/>
      <c r="C1332" s="95"/>
      <c r="D1332" s="76" t="s">
        <v>1409</v>
      </c>
      <c r="E1332" s="76" t="s">
        <v>843</v>
      </c>
      <c r="F1332" s="95"/>
      <c r="G1332" s="96">
        <v>13.88</v>
      </c>
      <c r="H1332" s="95"/>
      <c r="I1332" s="95"/>
      <c r="J1332" s="95"/>
      <c r="K1332" s="95"/>
      <c r="L1332" s="95"/>
      <c r="M1332" s="95"/>
      <c r="N1332" s="95"/>
      <c r="O1332" s="95"/>
      <c r="P1332" s="95"/>
    </row>
    <row r="1333" spans="1:76" s="81" customFormat="1" x14ac:dyDescent="0.25">
      <c r="A1333" s="110"/>
      <c r="B1333" s="95"/>
      <c r="C1333" s="95"/>
      <c r="D1333" s="76" t="s">
        <v>1410</v>
      </c>
      <c r="E1333" s="76" t="s">
        <v>834</v>
      </c>
      <c r="F1333" s="95"/>
      <c r="G1333" s="96">
        <v>40.29</v>
      </c>
      <c r="H1333" s="95"/>
      <c r="I1333" s="95"/>
      <c r="J1333" s="95"/>
      <c r="K1333" s="95"/>
      <c r="L1333" s="95"/>
      <c r="M1333" s="95"/>
      <c r="N1333" s="95"/>
      <c r="O1333" s="95"/>
      <c r="P1333" s="95"/>
    </row>
    <row r="1334" spans="1:76" s="81" customFormat="1" x14ac:dyDescent="0.25">
      <c r="A1334" s="110"/>
      <c r="B1334" s="95"/>
      <c r="C1334" s="95"/>
      <c r="D1334" s="76" t="s">
        <v>54</v>
      </c>
      <c r="E1334" s="76" t="s">
        <v>835</v>
      </c>
      <c r="F1334" s="95"/>
      <c r="G1334" s="96">
        <v>0</v>
      </c>
      <c r="H1334" s="95"/>
      <c r="I1334" s="95"/>
      <c r="J1334" s="95"/>
      <c r="K1334" s="95"/>
      <c r="L1334" s="95"/>
      <c r="M1334" s="95"/>
      <c r="N1334" s="95"/>
      <c r="O1334" s="95"/>
      <c r="P1334" s="95"/>
    </row>
    <row r="1335" spans="1:76" s="81" customFormat="1" x14ac:dyDescent="0.25">
      <c r="A1335" s="110"/>
      <c r="B1335" s="95"/>
      <c r="C1335" s="95"/>
      <c r="D1335" s="76" t="s">
        <v>1411</v>
      </c>
      <c r="E1335" s="76" t="s">
        <v>54</v>
      </c>
      <c r="F1335" s="95"/>
      <c r="G1335" s="96">
        <v>510.66300000000001</v>
      </c>
      <c r="H1335" s="95"/>
      <c r="I1335" s="95"/>
      <c r="J1335" s="95"/>
      <c r="K1335" s="95"/>
      <c r="L1335" s="95"/>
      <c r="M1335" s="95"/>
      <c r="N1335" s="95"/>
      <c r="O1335" s="95"/>
      <c r="P1335" s="95"/>
    </row>
    <row r="1336" spans="1:76" s="81" customFormat="1" x14ac:dyDescent="0.25">
      <c r="A1336" s="110"/>
      <c r="B1336" s="95"/>
      <c r="C1336" s="95"/>
      <c r="D1336" s="76" t="s">
        <v>54</v>
      </c>
      <c r="E1336" s="76" t="s">
        <v>837</v>
      </c>
      <c r="F1336" s="95"/>
      <c r="G1336" s="96">
        <v>0</v>
      </c>
      <c r="H1336" s="95"/>
      <c r="I1336" s="95"/>
      <c r="J1336" s="95"/>
      <c r="K1336" s="95"/>
      <c r="L1336" s="95"/>
      <c r="M1336" s="95"/>
      <c r="N1336" s="95"/>
      <c r="O1336" s="95"/>
      <c r="P1336" s="95"/>
    </row>
    <row r="1337" spans="1:76" s="81" customFormat="1" x14ac:dyDescent="0.25">
      <c r="A1337" s="110"/>
      <c r="B1337" s="95"/>
      <c r="C1337" s="95"/>
      <c r="D1337" s="76" t="s">
        <v>54</v>
      </c>
      <c r="E1337" s="76" t="s">
        <v>443</v>
      </c>
      <c r="F1337" s="95"/>
      <c r="G1337" s="96">
        <v>0</v>
      </c>
      <c r="H1337" s="95"/>
      <c r="I1337" s="95"/>
      <c r="J1337" s="95"/>
      <c r="K1337" s="95"/>
      <c r="L1337" s="95"/>
      <c r="M1337" s="95"/>
      <c r="N1337" s="95"/>
      <c r="O1337" s="95"/>
      <c r="P1337" s="95"/>
    </row>
    <row r="1338" spans="1:76" s="81" customFormat="1" x14ac:dyDescent="0.25">
      <c r="A1338" s="110"/>
      <c r="B1338" s="95"/>
      <c r="C1338" s="95"/>
      <c r="D1338" s="76" t="s">
        <v>1412</v>
      </c>
      <c r="E1338" s="76" t="s">
        <v>839</v>
      </c>
      <c r="F1338" s="95"/>
      <c r="G1338" s="96">
        <v>266.63436999999999</v>
      </c>
      <c r="H1338" s="95"/>
      <c r="I1338" s="95"/>
      <c r="J1338" s="95"/>
      <c r="K1338" s="95"/>
      <c r="L1338" s="95"/>
      <c r="M1338" s="95"/>
      <c r="N1338" s="95"/>
      <c r="O1338" s="95"/>
      <c r="P1338" s="95"/>
    </row>
    <row r="1339" spans="1:76" s="81" customFormat="1" ht="25.5" x14ac:dyDescent="0.25">
      <c r="A1339" s="66" t="s">
        <v>1480</v>
      </c>
      <c r="B1339" s="72" t="s">
        <v>55</v>
      </c>
      <c r="C1339" s="72" t="s">
        <v>1477</v>
      </c>
      <c r="D1339" s="174" t="s">
        <v>1478</v>
      </c>
      <c r="E1339" s="174"/>
      <c r="F1339" s="72" t="s">
        <v>192</v>
      </c>
      <c r="G1339" s="90">
        <v>72.72</v>
      </c>
      <c r="H1339" s="91"/>
      <c r="I1339" s="92" t="s">
        <v>63</v>
      </c>
      <c r="J1339" s="90">
        <f>G1339*AO1339</f>
        <v>0</v>
      </c>
      <c r="K1339" s="90">
        <f>G1339*AP1339</f>
        <v>0</v>
      </c>
      <c r="L1339" s="90">
        <f>G1339*H1339</f>
        <v>0</v>
      </c>
      <c r="M1339" s="90">
        <f>L1339*(1+BW1339/100)</f>
        <v>0</v>
      </c>
      <c r="N1339" s="90">
        <v>3.2000000000000003E-4</v>
      </c>
      <c r="O1339" s="90">
        <f>G1339*N1339</f>
        <v>2.32704E-2</v>
      </c>
      <c r="P1339" s="92" t="s">
        <v>64</v>
      </c>
      <c r="Z1339" s="93">
        <f>IF(AQ1339="5",BJ1339,0)</f>
        <v>0</v>
      </c>
      <c r="AB1339" s="93">
        <f>IF(AQ1339="1",BH1339,0)</f>
        <v>0</v>
      </c>
      <c r="AC1339" s="93">
        <f>IF(AQ1339="1",BI1339,0)</f>
        <v>0</v>
      </c>
      <c r="AD1339" s="93">
        <f>IF(AQ1339="7",BH1339,0)</f>
        <v>0</v>
      </c>
      <c r="AE1339" s="93">
        <f>IF(AQ1339="7",BI1339,0)</f>
        <v>0</v>
      </c>
      <c r="AF1339" s="93">
        <f>IF(AQ1339="2",BH1339,0)</f>
        <v>0</v>
      </c>
      <c r="AG1339" s="93">
        <f>IF(AQ1339="2",BI1339,0)</f>
        <v>0</v>
      </c>
      <c r="AH1339" s="93">
        <f>IF(AQ1339="0",BJ1339,0)</f>
        <v>0</v>
      </c>
      <c r="AI1339" s="88" t="s">
        <v>55</v>
      </c>
      <c r="AJ1339" s="93">
        <f>IF(AN1339=0,L1339,0)</f>
        <v>0</v>
      </c>
      <c r="AK1339" s="93">
        <f>IF(AN1339=12,L1339,0)</f>
        <v>0</v>
      </c>
      <c r="AL1339" s="93">
        <f>IF(AN1339=21,L1339,0)</f>
        <v>0</v>
      </c>
      <c r="AN1339" s="93">
        <v>21</v>
      </c>
      <c r="AO1339" s="93">
        <f>H1339*0.402544834</f>
        <v>0</v>
      </c>
      <c r="AP1339" s="93">
        <f>H1339*(1-0.402544834)</f>
        <v>0</v>
      </c>
      <c r="AQ1339" s="94" t="s">
        <v>148</v>
      </c>
      <c r="AV1339" s="93">
        <f>AW1339+AX1339</f>
        <v>0</v>
      </c>
      <c r="AW1339" s="93">
        <f>G1339*AO1339</f>
        <v>0</v>
      </c>
      <c r="AX1339" s="93">
        <f>G1339*AP1339</f>
        <v>0</v>
      </c>
      <c r="AY1339" s="94" t="s">
        <v>1453</v>
      </c>
      <c r="AZ1339" s="94" t="s">
        <v>1360</v>
      </c>
      <c r="BA1339" s="88" t="s">
        <v>67</v>
      </c>
      <c r="BC1339" s="93">
        <f>AW1339+AX1339</f>
        <v>0</v>
      </c>
      <c r="BD1339" s="93">
        <f>H1339/(100-BE1339)*100</f>
        <v>0</v>
      </c>
      <c r="BE1339" s="93">
        <v>0</v>
      </c>
      <c r="BF1339" s="93">
        <f>O1339</f>
        <v>2.32704E-2</v>
      </c>
      <c r="BH1339" s="93">
        <f>G1339*AO1339</f>
        <v>0</v>
      </c>
      <c r="BI1339" s="93">
        <f>G1339*AP1339</f>
        <v>0</v>
      </c>
      <c r="BJ1339" s="93">
        <f>G1339*H1339</f>
        <v>0</v>
      </c>
      <c r="BK1339" s="93"/>
      <c r="BL1339" s="93">
        <v>712</v>
      </c>
      <c r="BW1339" s="93" t="str">
        <f>I1339</f>
        <v>21</v>
      </c>
      <c r="BX1339" s="2" t="s">
        <v>1478</v>
      </c>
    </row>
    <row r="1340" spans="1:76" s="81" customFormat="1" ht="13.5" customHeight="1" x14ac:dyDescent="0.25">
      <c r="A1340" s="110"/>
      <c r="B1340" s="95"/>
      <c r="C1340" s="95"/>
      <c r="D1340" s="179" t="s">
        <v>1479</v>
      </c>
      <c r="E1340" s="179"/>
      <c r="F1340" s="179"/>
      <c r="G1340" s="179"/>
      <c r="H1340" s="179"/>
      <c r="I1340" s="179"/>
      <c r="J1340" s="179"/>
      <c r="K1340" s="179"/>
      <c r="L1340" s="179"/>
      <c r="M1340" s="179"/>
      <c r="N1340" s="179"/>
      <c r="O1340" s="179"/>
      <c r="P1340" s="179"/>
    </row>
    <row r="1341" spans="1:76" s="81" customFormat="1" x14ac:dyDescent="0.25">
      <c r="A1341" s="110"/>
      <c r="B1341" s="95"/>
      <c r="C1341" s="95"/>
      <c r="D1341" s="76" t="s">
        <v>54</v>
      </c>
      <c r="E1341" s="76" t="s">
        <v>1216</v>
      </c>
      <c r="F1341" s="95"/>
      <c r="G1341" s="96">
        <v>0</v>
      </c>
      <c r="H1341" s="95"/>
      <c r="I1341" s="95"/>
      <c r="J1341" s="95"/>
      <c r="K1341" s="95"/>
      <c r="L1341" s="95"/>
      <c r="M1341" s="95"/>
      <c r="N1341" s="95"/>
      <c r="O1341" s="95"/>
      <c r="P1341" s="95"/>
    </row>
    <row r="1342" spans="1:76" s="81" customFormat="1" x14ac:dyDescent="0.25">
      <c r="A1342" s="110"/>
      <c r="B1342" s="95"/>
      <c r="C1342" s="95"/>
      <c r="D1342" s="76" t="s">
        <v>54</v>
      </c>
      <c r="E1342" s="76" t="s">
        <v>443</v>
      </c>
      <c r="F1342" s="95"/>
      <c r="G1342" s="96">
        <v>0</v>
      </c>
      <c r="H1342" s="95"/>
      <c r="I1342" s="95"/>
      <c r="J1342" s="95"/>
      <c r="K1342" s="95"/>
      <c r="L1342" s="95"/>
      <c r="M1342" s="95"/>
      <c r="N1342" s="95"/>
      <c r="O1342" s="95"/>
      <c r="P1342" s="95"/>
    </row>
    <row r="1343" spans="1:76" s="81" customFormat="1" x14ac:dyDescent="0.25">
      <c r="A1343" s="110"/>
      <c r="B1343" s="95"/>
      <c r="C1343" s="95"/>
      <c r="D1343" s="76" t="s">
        <v>1217</v>
      </c>
      <c r="E1343" s="76" t="s">
        <v>54</v>
      </c>
      <c r="F1343" s="95"/>
      <c r="G1343" s="96">
        <v>72.72</v>
      </c>
      <c r="H1343" s="95"/>
      <c r="I1343" s="95"/>
      <c r="J1343" s="95"/>
      <c r="K1343" s="95"/>
      <c r="L1343" s="95"/>
      <c r="M1343" s="95"/>
      <c r="N1343" s="95"/>
      <c r="O1343" s="95"/>
      <c r="P1343" s="95"/>
    </row>
    <row r="1344" spans="1:76" s="81" customFormat="1" ht="25.5" x14ac:dyDescent="0.25">
      <c r="A1344" s="66" t="s">
        <v>1488</v>
      </c>
      <c r="B1344" s="72" t="s">
        <v>55</v>
      </c>
      <c r="C1344" s="72" t="s">
        <v>1481</v>
      </c>
      <c r="D1344" s="174" t="s">
        <v>1482</v>
      </c>
      <c r="E1344" s="174"/>
      <c r="F1344" s="72" t="s">
        <v>213</v>
      </c>
      <c r="G1344" s="90">
        <v>309.22000000000003</v>
      </c>
      <c r="H1344" s="91"/>
      <c r="I1344" s="92" t="s">
        <v>63</v>
      </c>
      <c r="J1344" s="90">
        <f>G1344*AO1344</f>
        <v>0</v>
      </c>
      <c r="K1344" s="90">
        <f>G1344*AP1344</f>
        <v>0</v>
      </c>
      <c r="L1344" s="90">
        <f>G1344*H1344</f>
        <v>0</v>
      </c>
      <c r="M1344" s="90">
        <f>L1344*(1+BW1344/100)</f>
        <v>0</v>
      </c>
      <c r="N1344" s="90">
        <v>1.8400000000000001E-3</v>
      </c>
      <c r="O1344" s="90">
        <f>G1344*N1344</f>
        <v>0.56896480000000005</v>
      </c>
      <c r="P1344" s="92" t="s">
        <v>371</v>
      </c>
      <c r="Z1344" s="93">
        <f>IF(AQ1344="5",BJ1344,0)</f>
        <v>0</v>
      </c>
      <c r="AB1344" s="93">
        <f>IF(AQ1344="1",BH1344,0)</f>
        <v>0</v>
      </c>
      <c r="AC1344" s="93">
        <f>IF(AQ1344="1",BI1344,0)</f>
        <v>0</v>
      </c>
      <c r="AD1344" s="93">
        <f>IF(AQ1344="7",BH1344,0)</f>
        <v>0</v>
      </c>
      <c r="AE1344" s="93">
        <f>IF(AQ1344="7",BI1344,0)</f>
        <v>0</v>
      </c>
      <c r="AF1344" s="93">
        <f>IF(AQ1344="2",BH1344,0)</f>
        <v>0</v>
      </c>
      <c r="AG1344" s="93">
        <f>IF(AQ1344="2",BI1344,0)</f>
        <v>0</v>
      </c>
      <c r="AH1344" s="93">
        <f>IF(AQ1344="0",BJ1344,0)</f>
        <v>0</v>
      </c>
      <c r="AI1344" s="88" t="s">
        <v>55</v>
      </c>
      <c r="AJ1344" s="93">
        <f>IF(AN1344=0,L1344,0)</f>
        <v>0</v>
      </c>
      <c r="AK1344" s="93">
        <f>IF(AN1344=12,L1344,0)</f>
        <v>0</v>
      </c>
      <c r="AL1344" s="93">
        <f>IF(AN1344=21,L1344,0)</f>
        <v>0</v>
      </c>
      <c r="AN1344" s="93">
        <v>21</v>
      </c>
      <c r="AO1344" s="93">
        <f>H1344*0.656231095</f>
        <v>0</v>
      </c>
      <c r="AP1344" s="93">
        <f>H1344*(1-0.656231095)</f>
        <v>0</v>
      </c>
      <c r="AQ1344" s="94" t="s">
        <v>148</v>
      </c>
      <c r="AV1344" s="93">
        <f>AW1344+AX1344</f>
        <v>0</v>
      </c>
      <c r="AW1344" s="93">
        <f>G1344*AO1344</f>
        <v>0</v>
      </c>
      <c r="AX1344" s="93">
        <f>G1344*AP1344</f>
        <v>0</v>
      </c>
      <c r="AY1344" s="94" t="s">
        <v>1453</v>
      </c>
      <c r="AZ1344" s="94" t="s">
        <v>1360</v>
      </c>
      <c r="BA1344" s="88" t="s">
        <v>67</v>
      </c>
      <c r="BC1344" s="93">
        <f>AW1344+AX1344</f>
        <v>0</v>
      </c>
      <c r="BD1344" s="93">
        <f>H1344/(100-BE1344)*100</f>
        <v>0</v>
      </c>
      <c r="BE1344" s="93">
        <v>0</v>
      </c>
      <c r="BF1344" s="93">
        <f>O1344</f>
        <v>0.56896480000000005</v>
      </c>
      <c r="BH1344" s="93">
        <f>G1344*AO1344</f>
        <v>0</v>
      </c>
      <c r="BI1344" s="93">
        <f>G1344*AP1344</f>
        <v>0</v>
      </c>
      <c r="BJ1344" s="93">
        <f>G1344*H1344</f>
        <v>0</v>
      </c>
      <c r="BK1344" s="93"/>
      <c r="BL1344" s="93">
        <v>712</v>
      </c>
      <c r="BW1344" s="93" t="str">
        <f>I1344</f>
        <v>21</v>
      </c>
      <c r="BX1344" s="2" t="s">
        <v>1482</v>
      </c>
    </row>
    <row r="1345" spans="1:76" s="81" customFormat="1" x14ac:dyDescent="0.25">
      <c r="A1345" s="110"/>
      <c r="B1345" s="95"/>
      <c r="C1345" s="95"/>
      <c r="D1345" s="76" t="s">
        <v>54</v>
      </c>
      <c r="E1345" s="76" t="s">
        <v>831</v>
      </c>
      <c r="F1345" s="95"/>
      <c r="G1345" s="96">
        <v>0</v>
      </c>
      <c r="H1345" s="97"/>
      <c r="I1345" s="95"/>
      <c r="J1345" s="95"/>
      <c r="K1345" s="95"/>
      <c r="L1345" s="95"/>
      <c r="M1345" s="95"/>
      <c r="N1345" s="95"/>
      <c r="O1345" s="95"/>
      <c r="P1345" s="95"/>
    </row>
    <row r="1346" spans="1:76" s="81" customFormat="1" x14ac:dyDescent="0.25">
      <c r="A1346" s="110"/>
      <c r="B1346" s="95"/>
      <c r="C1346" s="95"/>
      <c r="D1346" s="76" t="s">
        <v>54</v>
      </c>
      <c r="E1346" s="76" t="s">
        <v>832</v>
      </c>
      <c r="F1346" s="95"/>
      <c r="G1346" s="96">
        <v>0</v>
      </c>
      <c r="H1346" s="97"/>
      <c r="I1346" s="95"/>
      <c r="J1346" s="95"/>
      <c r="K1346" s="95"/>
      <c r="L1346" s="95"/>
      <c r="M1346" s="95"/>
      <c r="N1346" s="95"/>
      <c r="O1346" s="95"/>
      <c r="P1346" s="95"/>
    </row>
    <row r="1347" spans="1:76" s="81" customFormat="1" x14ac:dyDescent="0.25">
      <c r="A1347" s="110"/>
      <c r="B1347" s="95"/>
      <c r="C1347" s="95"/>
      <c r="D1347" s="76" t="s">
        <v>1483</v>
      </c>
      <c r="E1347" s="76" t="s">
        <v>841</v>
      </c>
      <c r="F1347" s="95"/>
      <c r="G1347" s="96">
        <v>0</v>
      </c>
      <c r="H1347" s="97"/>
      <c r="I1347" s="95"/>
      <c r="J1347" s="95"/>
      <c r="K1347" s="95"/>
      <c r="L1347" s="95"/>
      <c r="M1347" s="95"/>
      <c r="N1347" s="95"/>
      <c r="O1347" s="95"/>
      <c r="P1347" s="95"/>
    </row>
    <row r="1348" spans="1:76" s="81" customFormat="1" x14ac:dyDescent="0.25">
      <c r="A1348" s="110"/>
      <c r="B1348" s="95"/>
      <c r="C1348" s="95"/>
      <c r="D1348" s="76" t="s">
        <v>1484</v>
      </c>
      <c r="E1348" s="76" t="s">
        <v>843</v>
      </c>
      <c r="F1348" s="95"/>
      <c r="G1348" s="96">
        <v>13.34</v>
      </c>
      <c r="H1348" s="97"/>
      <c r="I1348" s="95"/>
      <c r="J1348" s="95"/>
      <c r="K1348" s="95"/>
      <c r="L1348" s="95"/>
      <c r="M1348" s="95"/>
      <c r="N1348" s="95"/>
      <c r="O1348" s="95"/>
      <c r="P1348" s="95"/>
    </row>
    <row r="1349" spans="1:76" s="81" customFormat="1" x14ac:dyDescent="0.25">
      <c r="A1349" s="110"/>
      <c r="B1349" s="95"/>
      <c r="C1349" s="95"/>
      <c r="D1349" s="76" t="s">
        <v>1485</v>
      </c>
      <c r="E1349" s="76" t="s">
        <v>834</v>
      </c>
      <c r="F1349" s="95"/>
      <c r="G1349" s="96">
        <v>45.78</v>
      </c>
      <c r="H1349" s="97"/>
      <c r="I1349" s="95"/>
      <c r="J1349" s="95"/>
      <c r="K1349" s="95"/>
      <c r="L1349" s="95"/>
      <c r="M1349" s="95"/>
      <c r="N1349" s="95"/>
      <c r="O1349" s="95"/>
      <c r="P1349" s="95"/>
    </row>
    <row r="1350" spans="1:76" s="81" customFormat="1" x14ac:dyDescent="0.25">
      <c r="A1350" s="110"/>
      <c r="B1350" s="95"/>
      <c r="C1350" s="95"/>
      <c r="D1350" s="76" t="s">
        <v>54</v>
      </c>
      <c r="E1350" s="76" t="s">
        <v>835</v>
      </c>
      <c r="F1350" s="95"/>
      <c r="G1350" s="96">
        <v>0</v>
      </c>
      <c r="H1350" s="97"/>
      <c r="I1350" s="95"/>
      <c r="J1350" s="95"/>
      <c r="K1350" s="95"/>
      <c r="L1350" s="95"/>
      <c r="M1350" s="95"/>
      <c r="N1350" s="95"/>
      <c r="O1350" s="95"/>
      <c r="P1350" s="95"/>
    </row>
    <row r="1351" spans="1:76" s="81" customFormat="1" x14ac:dyDescent="0.25">
      <c r="A1351" s="110"/>
      <c r="B1351" s="95"/>
      <c r="C1351" s="95"/>
      <c r="D1351" s="76" t="s">
        <v>1486</v>
      </c>
      <c r="E1351" s="76" t="s">
        <v>54</v>
      </c>
      <c r="F1351" s="95"/>
      <c r="G1351" s="96">
        <v>175.91</v>
      </c>
      <c r="H1351" s="97"/>
      <c r="I1351" s="95"/>
      <c r="J1351" s="95"/>
      <c r="K1351" s="95"/>
      <c r="L1351" s="95"/>
      <c r="M1351" s="95"/>
      <c r="N1351" s="95"/>
      <c r="O1351" s="95"/>
      <c r="P1351" s="95"/>
    </row>
    <row r="1352" spans="1:76" s="81" customFormat="1" x14ac:dyDescent="0.25">
      <c r="A1352" s="110"/>
      <c r="B1352" s="95"/>
      <c r="C1352" s="95"/>
      <c r="D1352" s="76" t="s">
        <v>54</v>
      </c>
      <c r="E1352" s="76" t="s">
        <v>837</v>
      </c>
      <c r="F1352" s="95"/>
      <c r="G1352" s="96">
        <v>0</v>
      </c>
      <c r="H1352" s="97"/>
      <c r="I1352" s="95"/>
      <c r="J1352" s="95"/>
      <c r="K1352" s="95"/>
      <c r="L1352" s="95"/>
      <c r="M1352" s="95"/>
      <c r="N1352" s="95"/>
      <c r="O1352" s="95"/>
      <c r="P1352" s="95"/>
    </row>
    <row r="1353" spans="1:76" s="81" customFormat="1" x14ac:dyDescent="0.25">
      <c r="A1353" s="110"/>
      <c r="B1353" s="95"/>
      <c r="C1353" s="95"/>
      <c r="D1353" s="76" t="s">
        <v>54</v>
      </c>
      <c r="E1353" s="76" t="s">
        <v>443</v>
      </c>
      <c r="F1353" s="95"/>
      <c r="G1353" s="96">
        <v>0</v>
      </c>
      <c r="H1353" s="97"/>
      <c r="I1353" s="95"/>
      <c r="J1353" s="95"/>
      <c r="K1353" s="95"/>
      <c r="L1353" s="95"/>
      <c r="M1353" s="95"/>
      <c r="N1353" s="95"/>
      <c r="O1353" s="95"/>
      <c r="P1353" s="95"/>
    </row>
    <row r="1354" spans="1:76" s="81" customFormat="1" x14ac:dyDescent="0.25">
      <c r="A1354" s="110"/>
      <c r="B1354" s="95"/>
      <c r="C1354" s="95"/>
      <c r="D1354" s="76" t="s">
        <v>1487</v>
      </c>
      <c r="E1354" s="76" t="s">
        <v>839</v>
      </c>
      <c r="F1354" s="95"/>
      <c r="G1354" s="96">
        <v>74.19</v>
      </c>
      <c r="H1354" s="97"/>
      <c r="I1354" s="95"/>
      <c r="J1354" s="95"/>
      <c r="K1354" s="95"/>
      <c r="L1354" s="95"/>
      <c r="M1354" s="95"/>
      <c r="N1354" s="95"/>
      <c r="O1354" s="95"/>
      <c r="P1354" s="95"/>
    </row>
    <row r="1355" spans="1:76" s="81" customFormat="1" ht="25.5" x14ac:dyDescent="0.25">
      <c r="A1355" s="66" t="s">
        <v>1492</v>
      </c>
      <c r="B1355" s="72" t="s">
        <v>55</v>
      </c>
      <c r="C1355" s="72" t="s">
        <v>1489</v>
      </c>
      <c r="D1355" s="174" t="s">
        <v>1490</v>
      </c>
      <c r="E1355" s="174"/>
      <c r="F1355" s="72" t="s">
        <v>192</v>
      </c>
      <c r="G1355" s="90">
        <v>72.72</v>
      </c>
      <c r="H1355" s="91"/>
      <c r="I1355" s="92" t="s">
        <v>63</v>
      </c>
      <c r="J1355" s="90">
        <f>G1355*AO1355</f>
        <v>0</v>
      </c>
      <c r="K1355" s="90">
        <f>G1355*AP1355</f>
        <v>0</v>
      </c>
      <c r="L1355" s="90">
        <f>G1355*H1355</f>
        <v>0</v>
      </c>
      <c r="M1355" s="90">
        <f>L1355*(1+BW1355/100)</f>
        <v>0</v>
      </c>
      <c r="N1355" s="90">
        <v>2.8800000000000002E-3</v>
      </c>
      <c r="O1355" s="90">
        <f>G1355*N1355</f>
        <v>0.2094336</v>
      </c>
      <c r="P1355" s="92" t="s">
        <v>64</v>
      </c>
      <c r="Z1355" s="93">
        <f>IF(AQ1355="5",BJ1355,0)</f>
        <v>0</v>
      </c>
      <c r="AB1355" s="93">
        <f>IF(AQ1355="1",BH1355,0)</f>
        <v>0</v>
      </c>
      <c r="AC1355" s="93">
        <f>IF(AQ1355="1",BI1355,0)</f>
        <v>0</v>
      </c>
      <c r="AD1355" s="93">
        <f>IF(AQ1355="7",BH1355,0)</f>
        <v>0</v>
      </c>
      <c r="AE1355" s="93">
        <f>IF(AQ1355="7",BI1355,0)</f>
        <v>0</v>
      </c>
      <c r="AF1355" s="93">
        <f>IF(AQ1355="2",BH1355,0)</f>
        <v>0</v>
      </c>
      <c r="AG1355" s="93">
        <f>IF(AQ1355="2",BI1355,0)</f>
        <v>0</v>
      </c>
      <c r="AH1355" s="93">
        <f>IF(AQ1355="0",BJ1355,0)</f>
        <v>0</v>
      </c>
      <c r="AI1355" s="88" t="s">
        <v>55</v>
      </c>
      <c r="AJ1355" s="93">
        <f>IF(AN1355=0,L1355,0)</f>
        <v>0</v>
      </c>
      <c r="AK1355" s="93">
        <f>IF(AN1355=12,L1355,0)</f>
        <v>0</v>
      </c>
      <c r="AL1355" s="93">
        <f>IF(AN1355=21,L1355,0)</f>
        <v>0</v>
      </c>
      <c r="AN1355" s="93">
        <v>21</v>
      </c>
      <c r="AO1355" s="93">
        <f>H1355*0.737452693</f>
        <v>0</v>
      </c>
      <c r="AP1355" s="93">
        <f>H1355*(1-0.737452693)</f>
        <v>0</v>
      </c>
      <c r="AQ1355" s="94" t="s">
        <v>148</v>
      </c>
      <c r="AV1355" s="93">
        <f>AW1355+AX1355</f>
        <v>0</v>
      </c>
      <c r="AW1355" s="93">
        <f>G1355*AO1355</f>
        <v>0</v>
      </c>
      <c r="AX1355" s="93">
        <f>G1355*AP1355</f>
        <v>0</v>
      </c>
      <c r="AY1355" s="94" t="s">
        <v>1453</v>
      </c>
      <c r="AZ1355" s="94" t="s">
        <v>1360</v>
      </c>
      <c r="BA1355" s="88" t="s">
        <v>67</v>
      </c>
      <c r="BC1355" s="93">
        <f>AW1355+AX1355</f>
        <v>0</v>
      </c>
      <c r="BD1355" s="93">
        <f>H1355/(100-BE1355)*100</f>
        <v>0</v>
      </c>
      <c r="BE1355" s="93">
        <v>0</v>
      </c>
      <c r="BF1355" s="93">
        <f>O1355</f>
        <v>0.2094336</v>
      </c>
      <c r="BH1355" s="93">
        <f>G1355*AO1355</f>
        <v>0</v>
      </c>
      <c r="BI1355" s="93">
        <f>G1355*AP1355</f>
        <v>0</v>
      </c>
      <c r="BJ1355" s="93">
        <f>G1355*H1355</f>
        <v>0</v>
      </c>
      <c r="BK1355" s="93"/>
      <c r="BL1355" s="93">
        <v>712</v>
      </c>
      <c r="BW1355" s="93" t="str">
        <f>I1355</f>
        <v>21</v>
      </c>
      <c r="BX1355" s="2" t="s">
        <v>1490</v>
      </c>
    </row>
    <row r="1356" spans="1:76" s="81" customFormat="1" ht="13.5" customHeight="1" x14ac:dyDescent="0.25">
      <c r="A1356" s="110"/>
      <c r="B1356" s="95"/>
      <c r="C1356" s="95"/>
      <c r="D1356" s="179" t="s">
        <v>1491</v>
      </c>
      <c r="E1356" s="179"/>
      <c r="F1356" s="179"/>
      <c r="G1356" s="179"/>
      <c r="H1356" s="179"/>
      <c r="I1356" s="179"/>
      <c r="J1356" s="179"/>
      <c r="K1356" s="179"/>
      <c r="L1356" s="179"/>
      <c r="M1356" s="179"/>
      <c r="N1356" s="179"/>
      <c r="O1356" s="179"/>
      <c r="P1356" s="179"/>
    </row>
    <row r="1357" spans="1:76" s="81" customFormat="1" x14ac:dyDescent="0.25">
      <c r="A1357" s="110"/>
      <c r="B1357" s="95"/>
      <c r="C1357" s="95"/>
      <c r="D1357" s="76" t="s">
        <v>54</v>
      </c>
      <c r="E1357" s="76" t="s">
        <v>1216</v>
      </c>
      <c r="F1357" s="95"/>
      <c r="G1357" s="96">
        <v>0</v>
      </c>
      <c r="H1357" s="95"/>
      <c r="I1357" s="95"/>
      <c r="J1357" s="95"/>
      <c r="K1357" s="95"/>
      <c r="L1357" s="95"/>
      <c r="M1357" s="95"/>
      <c r="N1357" s="95"/>
      <c r="O1357" s="95"/>
      <c r="P1357" s="95"/>
    </row>
    <row r="1358" spans="1:76" s="81" customFormat="1" x14ac:dyDescent="0.25">
      <c r="A1358" s="110"/>
      <c r="B1358" s="95"/>
      <c r="C1358" s="95"/>
      <c r="D1358" s="76" t="s">
        <v>54</v>
      </c>
      <c r="E1358" s="76" t="s">
        <v>443</v>
      </c>
      <c r="F1358" s="95"/>
      <c r="G1358" s="96">
        <v>0</v>
      </c>
      <c r="H1358" s="95"/>
      <c r="I1358" s="95"/>
      <c r="J1358" s="95"/>
      <c r="K1358" s="95"/>
      <c r="L1358" s="95"/>
      <c r="M1358" s="95"/>
      <c r="N1358" s="95"/>
      <c r="O1358" s="95"/>
      <c r="P1358" s="95"/>
    </row>
    <row r="1359" spans="1:76" s="81" customFormat="1" x14ac:dyDescent="0.25">
      <c r="A1359" s="110"/>
      <c r="B1359" s="95"/>
      <c r="C1359" s="95"/>
      <c r="D1359" s="76" t="s">
        <v>1217</v>
      </c>
      <c r="E1359" s="76" t="s">
        <v>54</v>
      </c>
      <c r="F1359" s="95"/>
      <c r="G1359" s="96">
        <v>72.72</v>
      </c>
      <c r="H1359" s="95"/>
      <c r="I1359" s="95"/>
      <c r="J1359" s="95"/>
      <c r="K1359" s="95"/>
      <c r="L1359" s="95"/>
      <c r="M1359" s="95"/>
      <c r="N1359" s="95"/>
      <c r="O1359" s="95"/>
      <c r="P1359" s="95"/>
    </row>
    <row r="1360" spans="1:76" s="81" customFormat="1" ht="25.5" x14ac:dyDescent="0.25">
      <c r="A1360" s="66" t="s">
        <v>1505</v>
      </c>
      <c r="B1360" s="72" t="s">
        <v>55</v>
      </c>
      <c r="C1360" s="72" t="s">
        <v>1493</v>
      </c>
      <c r="D1360" s="174" t="s">
        <v>1494</v>
      </c>
      <c r="E1360" s="174"/>
      <c r="F1360" s="72" t="s">
        <v>192</v>
      </c>
      <c r="G1360" s="90">
        <v>459.00565999999998</v>
      </c>
      <c r="H1360" s="91"/>
      <c r="I1360" s="92" t="s">
        <v>63</v>
      </c>
      <c r="J1360" s="90">
        <f>G1360*AO1360</f>
        <v>0</v>
      </c>
      <c r="K1360" s="90">
        <f>G1360*AP1360</f>
        <v>0</v>
      </c>
      <c r="L1360" s="90">
        <f>G1360*H1360</f>
        <v>0</v>
      </c>
      <c r="M1360" s="90">
        <f>L1360*(1+BW1360/100)</f>
        <v>0</v>
      </c>
      <c r="N1360" s="90">
        <v>3.5E-4</v>
      </c>
      <c r="O1360" s="90">
        <f>G1360*N1360</f>
        <v>0.160651981</v>
      </c>
      <c r="P1360" s="92" t="s">
        <v>64</v>
      </c>
      <c r="Z1360" s="93">
        <f>IF(AQ1360="5",BJ1360,0)</f>
        <v>0</v>
      </c>
      <c r="AB1360" s="93">
        <f>IF(AQ1360="1",BH1360,0)</f>
        <v>0</v>
      </c>
      <c r="AC1360" s="93">
        <f>IF(AQ1360="1",BI1360,0)</f>
        <v>0</v>
      </c>
      <c r="AD1360" s="93">
        <f>IF(AQ1360="7",BH1360,0)</f>
        <v>0</v>
      </c>
      <c r="AE1360" s="93">
        <f>IF(AQ1360="7",BI1360,0)</f>
        <v>0</v>
      </c>
      <c r="AF1360" s="93">
        <f>IF(AQ1360="2",BH1360,0)</f>
        <v>0</v>
      </c>
      <c r="AG1360" s="93">
        <f>IF(AQ1360="2",BI1360,0)</f>
        <v>0</v>
      </c>
      <c r="AH1360" s="93">
        <f>IF(AQ1360="0",BJ1360,0)</f>
        <v>0</v>
      </c>
      <c r="AI1360" s="88" t="s">
        <v>55</v>
      </c>
      <c r="AJ1360" s="93">
        <f>IF(AN1360=0,L1360,0)</f>
        <v>0</v>
      </c>
      <c r="AK1360" s="93">
        <f>IF(AN1360=12,L1360,0)</f>
        <v>0</v>
      </c>
      <c r="AL1360" s="93">
        <f>IF(AN1360=21,L1360,0)</f>
        <v>0</v>
      </c>
      <c r="AN1360" s="93">
        <v>21</v>
      </c>
      <c r="AO1360" s="93">
        <f>H1360*0.68205131</f>
        <v>0</v>
      </c>
      <c r="AP1360" s="93">
        <f>H1360*(1-0.68205131)</f>
        <v>0</v>
      </c>
      <c r="AQ1360" s="94" t="s">
        <v>148</v>
      </c>
      <c r="AV1360" s="93">
        <f>AW1360+AX1360</f>
        <v>0</v>
      </c>
      <c r="AW1360" s="93">
        <f>G1360*AO1360</f>
        <v>0</v>
      </c>
      <c r="AX1360" s="93">
        <f>G1360*AP1360</f>
        <v>0</v>
      </c>
      <c r="AY1360" s="94" t="s">
        <v>1453</v>
      </c>
      <c r="AZ1360" s="94" t="s">
        <v>1360</v>
      </c>
      <c r="BA1360" s="88" t="s">
        <v>67</v>
      </c>
      <c r="BC1360" s="93">
        <f>AW1360+AX1360</f>
        <v>0</v>
      </c>
      <c r="BD1360" s="93">
        <f>H1360/(100-BE1360)*100</f>
        <v>0</v>
      </c>
      <c r="BE1360" s="93">
        <v>0</v>
      </c>
      <c r="BF1360" s="93">
        <f>O1360</f>
        <v>0.160651981</v>
      </c>
      <c r="BH1360" s="93">
        <f>G1360*AO1360</f>
        <v>0</v>
      </c>
      <c r="BI1360" s="93">
        <f>G1360*AP1360</f>
        <v>0</v>
      </c>
      <c r="BJ1360" s="93">
        <f>G1360*H1360</f>
        <v>0</v>
      </c>
      <c r="BK1360" s="93"/>
      <c r="BL1360" s="93">
        <v>712</v>
      </c>
      <c r="BW1360" s="93" t="str">
        <f>I1360</f>
        <v>21</v>
      </c>
      <c r="BX1360" s="2" t="s">
        <v>1494</v>
      </c>
    </row>
    <row r="1361" spans="1:76" s="81" customFormat="1" ht="13.5" customHeight="1" x14ac:dyDescent="0.25">
      <c r="A1361" s="110"/>
      <c r="B1361" s="95"/>
      <c r="C1361" s="95"/>
      <c r="D1361" s="179" t="s">
        <v>1458</v>
      </c>
      <c r="E1361" s="179"/>
      <c r="F1361" s="179"/>
      <c r="G1361" s="179"/>
      <c r="H1361" s="179"/>
      <c r="I1361" s="179"/>
      <c r="J1361" s="179"/>
      <c r="K1361" s="179"/>
      <c r="L1361" s="179"/>
      <c r="M1361" s="179"/>
      <c r="N1361" s="179"/>
      <c r="O1361" s="179"/>
      <c r="P1361" s="179"/>
    </row>
    <row r="1362" spans="1:76" s="81" customFormat="1" x14ac:dyDescent="0.25">
      <c r="A1362" s="110"/>
      <c r="B1362" s="95"/>
      <c r="C1362" s="95"/>
      <c r="D1362" s="76" t="s">
        <v>54</v>
      </c>
      <c r="E1362" s="76" t="s">
        <v>831</v>
      </c>
      <c r="F1362" s="95"/>
      <c r="G1362" s="96">
        <v>0</v>
      </c>
      <c r="H1362" s="95"/>
      <c r="I1362" s="95"/>
      <c r="J1362" s="95"/>
      <c r="K1362" s="95"/>
      <c r="L1362" s="95"/>
      <c r="M1362" s="95"/>
      <c r="N1362" s="95"/>
      <c r="O1362" s="95"/>
      <c r="P1362" s="95"/>
    </row>
    <row r="1363" spans="1:76" s="81" customFormat="1" x14ac:dyDescent="0.25">
      <c r="A1363" s="110"/>
      <c r="B1363" s="95"/>
      <c r="C1363" s="95"/>
      <c r="D1363" s="76" t="s">
        <v>54</v>
      </c>
      <c r="E1363" s="76" t="s">
        <v>832</v>
      </c>
      <c r="F1363" s="95"/>
      <c r="G1363" s="96">
        <v>0</v>
      </c>
      <c r="H1363" s="95"/>
      <c r="I1363" s="95"/>
      <c r="J1363" s="95"/>
      <c r="K1363" s="95"/>
      <c r="L1363" s="95"/>
      <c r="M1363" s="95"/>
      <c r="N1363" s="95"/>
      <c r="O1363" s="95"/>
      <c r="P1363" s="95"/>
    </row>
    <row r="1364" spans="1:76" s="81" customFormat="1" x14ac:dyDescent="0.25">
      <c r="A1364" s="110"/>
      <c r="B1364" s="95"/>
      <c r="C1364" s="95"/>
      <c r="D1364" s="76" t="s">
        <v>1495</v>
      </c>
      <c r="E1364" s="76" t="s">
        <v>54</v>
      </c>
      <c r="F1364" s="95"/>
      <c r="G1364" s="96">
        <v>15.76155</v>
      </c>
      <c r="H1364" s="95"/>
      <c r="I1364" s="95"/>
      <c r="J1364" s="95"/>
      <c r="K1364" s="95"/>
      <c r="L1364" s="95"/>
      <c r="M1364" s="95"/>
      <c r="N1364" s="95"/>
      <c r="O1364" s="95"/>
      <c r="P1364" s="95"/>
    </row>
    <row r="1365" spans="1:76" s="81" customFormat="1" x14ac:dyDescent="0.25">
      <c r="A1365" s="110"/>
      <c r="B1365" s="95"/>
      <c r="C1365" s="95"/>
      <c r="D1365" s="76" t="s">
        <v>1496</v>
      </c>
      <c r="E1365" s="76" t="s">
        <v>54</v>
      </c>
      <c r="F1365" s="95"/>
      <c r="G1365" s="96">
        <v>16.266749999999998</v>
      </c>
      <c r="H1365" s="95"/>
      <c r="I1365" s="95"/>
      <c r="J1365" s="95"/>
      <c r="K1365" s="95"/>
      <c r="L1365" s="95"/>
      <c r="M1365" s="95"/>
      <c r="N1365" s="95"/>
      <c r="O1365" s="95"/>
      <c r="P1365" s="95"/>
    </row>
    <row r="1366" spans="1:76" s="81" customFormat="1" x14ac:dyDescent="0.25">
      <c r="A1366" s="110"/>
      <c r="B1366" s="95"/>
      <c r="C1366" s="95"/>
      <c r="D1366" s="76" t="s">
        <v>1497</v>
      </c>
      <c r="E1366" s="76" t="s">
        <v>54</v>
      </c>
      <c r="F1366" s="95"/>
      <c r="G1366" s="96">
        <v>21.979649999999999</v>
      </c>
      <c r="H1366" s="95"/>
      <c r="I1366" s="95"/>
      <c r="J1366" s="95"/>
      <c r="K1366" s="95"/>
      <c r="L1366" s="95"/>
      <c r="M1366" s="95"/>
      <c r="N1366" s="95"/>
      <c r="O1366" s="95"/>
      <c r="P1366" s="95"/>
    </row>
    <row r="1367" spans="1:76" s="81" customFormat="1" x14ac:dyDescent="0.25">
      <c r="A1367" s="110"/>
      <c r="B1367" s="95"/>
      <c r="C1367" s="95"/>
      <c r="D1367" s="76" t="s">
        <v>1498</v>
      </c>
      <c r="E1367" s="76" t="s">
        <v>54</v>
      </c>
      <c r="F1367" s="95"/>
      <c r="G1367" s="96">
        <v>3.7821699999999998</v>
      </c>
      <c r="H1367" s="95"/>
      <c r="I1367" s="95"/>
      <c r="J1367" s="95"/>
      <c r="K1367" s="95"/>
      <c r="L1367" s="95"/>
      <c r="M1367" s="95"/>
      <c r="N1367" s="95"/>
      <c r="O1367" s="95"/>
      <c r="P1367" s="95"/>
    </row>
    <row r="1368" spans="1:76" s="81" customFormat="1" x14ac:dyDescent="0.25">
      <c r="A1368" s="110"/>
      <c r="B1368" s="95"/>
      <c r="C1368" s="95"/>
      <c r="D1368" s="76" t="s">
        <v>1499</v>
      </c>
      <c r="E1368" s="76" t="s">
        <v>54</v>
      </c>
      <c r="F1368" s="95"/>
      <c r="G1368" s="96">
        <v>1.34592</v>
      </c>
      <c r="H1368" s="95"/>
      <c r="I1368" s="95"/>
      <c r="J1368" s="95"/>
      <c r="K1368" s="95"/>
      <c r="L1368" s="95"/>
      <c r="M1368" s="95"/>
      <c r="N1368" s="95"/>
      <c r="O1368" s="95"/>
      <c r="P1368" s="95"/>
    </row>
    <row r="1369" spans="1:76" s="81" customFormat="1" x14ac:dyDescent="0.25">
      <c r="A1369" s="110"/>
      <c r="B1369" s="95"/>
      <c r="C1369" s="95"/>
      <c r="D1369" s="76" t="s">
        <v>1500</v>
      </c>
      <c r="E1369" s="76" t="s">
        <v>54</v>
      </c>
      <c r="F1369" s="95"/>
      <c r="G1369" s="96">
        <v>334.42070000000001</v>
      </c>
      <c r="H1369" s="95"/>
      <c r="I1369" s="95"/>
      <c r="J1369" s="95"/>
      <c r="K1369" s="95"/>
      <c r="L1369" s="95"/>
      <c r="M1369" s="95"/>
      <c r="N1369" s="95"/>
      <c r="O1369" s="95"/>
      <c r="P1369" s="95"/>
    </row>
    <row r="1370" spans="1:76" s="81" customFormat="1" x14ac:dyDescent="0.25">
      <c r="A1370" s="110"/>
      <c r="B1370" s="95"/>
      <c r="C1370" s="95"/>
      <c r="D1370" s="76" t="s">
        <v>54</v>
      </c>
      <c r="E1370" s="76" t="s">
        <v>837</v>
      </c>
      <c r="F1370" s="95"/>
      <c r="G1370" s="96">
        <v>0</v>
      </c>
      <c r="H1370" s="95"/>
      <c r="I1370" s="95"/>
      <c r="J1370" s="95"/>
      <c r="K1370" s="95"/>
      <c r="L1370" s="95"/>
      <c r="M1370" s="95"/>
      <c r="N1370" s="95"/>
      <c r="O1370" s="95"/>
      <c r="P1370" s="95"/>
    </row>
    <row r="1371" spans="1:76" s="81" customFormat="1" x14ac:dyDescent="0.25">
      <c r="A1371" s="110"/>
      <c r="B1371" s="95"/>
      <c r="C1371" s="95"/>
      <c r="D1371" s="76" t="s">
        <v>1501</v>
      </c>
      <c r="E1371" s="76" t="s">
        <v>54</v>
      </c>
      <c r="F1371" s="95"/>
      <c r="G1371" s="96">
        <v>23.1525</v>
      </c>
      <c r="H1371" s="95"/>
      <c r="I1371" s="95"/>
      <c r="J1371" s="95"/>
      <c r="K1371" s="95"/>
      <c r="L1371" s="95"/>
      <c r="M1371" s="95"/>
      <c r="N1371" s="95"/>
      <c r="O1371" s="95"/>
      <c r="P1371" s="95"/>
    </row>
    <row r="1372" spans="1:76" s="81" customFormat="1" x14ac:dyDescent="0.25">
      <c r="A1372" s="110"/>
      <c r="B1372" s="95"/>
      <c r="C1372" s="95"/>
      <c r="D1372" s="76" t="s">
        <v>1502</v>
      </c>
      <c r="E1372" s="76" t="s">
        <v>54</v>
      </c>
      <c r="F1372" s="95"/>
      <c r="G1372" s="96">
        <v>13.588749999999999</v>
      </c>
      <c r="H1372" s="95"/>
      <c r="I1372" s="95"/>
      <c r="J1372" s="95"/>
      <c r="K1372" s="95"/>
      <c r="L1372" s="95"/>
      <c r="M1372" s="95"/>
      <c r="N1372" s="95"/>
      <c r="O1372" s="95"/>
      <c r="P1372" s="95"/>
    </row>
    <row r="1373" spans="1:76" s="81" customFormat="1" x14ac:dyDescent="0.25">
      <c r="A1373" s="110"/>
      <c r="B1373" s="95"/>
      <c r="C1373" s="95"/>
      <c r="D1373" s="76" t="s">
        <v>1503</v>
      </c>
      <c r="E1373" s="76" t="s">
        <v>54</v>
      </c>
      <c r="F1373" s="95"/>
      <c r="G1373" s="96">
        <v>20.089749999999999</v>
      </c>
      <c r="H1373" s="95"/>
      <c r="I1373" s="95"/>
      <c r="J1373" s="95"/>
      <c r="K1373" s="95"/>
      <c r="L1373" s="95"/>
      <c r="M1373" s="95"/>
      <c r="N1373" s="95"/>
      <c r="O1373" s="95"/>
      <c r="P1373" s="95"/>
    </row>
    <row r="1374" spans="1:76" s="81" customFormat="1" x14ac:dyDescent="0.25">
      <c r="A1374" s="110"/>
      <c r="B1374" s="95"/>
      <c r="C1374" s="95"/>
      <c r="D1374" s="76" t="s">
        <v>54</v>
      </c>
      <c r="E1374" s="76" t="s">
        <v>1216</v>
      </c>
      <c r="F1374" s="95"/>
      <c r="G1374" s="96">
        <v>0</v>
      </c>
      <c r="H1374" s="95"/>
      <c r="I1374" s="95"/>
      <c r="J1374" s="95"/>
      <c r="K1374" s="95"/>
      <c r="L1374" s="95"/>
      <c r="M1374" s="95"/>
      <c r="N1374" s="95"/>
      <c r="O1374" s="95"/>
      <c r="P1374" s="95"/>
    </row>
    <row r="1375" spans="1:76" s="81" customFormat="1" x14ac:dyDescent="0.25">
      <c r="A1375" s="110"/>
      <c r="B1375" s="95"/>
      <c r="C1375" s="95"/>
      <c r="D1375" s="76" t="s">
        <v>1504</v>
      </c>
      <c r="E1375" s="76" t="s">
        <v>54</v>
      </c>
      <c r="F1375" s="95"/>
      <c r="G1375" s="96">
        <v>8.6179199999999998</v>
      </c>
      <c r="H1375" s="95"/>
      <c r="I1375" s="95"/>
      <c r="J1375" s="95"/>
      <c r="K1375" s="95"/>
      <c r="L1375" s="95"/>
      <c r="M1375" s="95"/>
      <c r="N1375" s="95"/>
      <c r="O1375" s="95"/>
      <c r="P1375" s="95"/>
    </row>
    <row r="1376" spans="1:76" s="81" customFormat="1" ht="25.5" x14ac:dyDescent="0.25">
      <c r="A1376" s="66" t="s">
        <v>1508</v>
      </c>
      <c r="B1376" s="72" t="s">
        <v>55</v>
      </c>
      <c r="C1376" s="72" t="s">
        <v>1506</v>
      </c>
      <c r="D1376" s="174" t="s">
        <v>1507</v>
      </c>
      <c r="E1376" s="174"/>
      <c r="F1376" s="72" t="s">
        <v>192</v>
      </c>
      <c r="G1376" s="90">
        <v>459.00565999999998</v>
      </c>
      <c r="H1376" s="91"/>
      <c r="I1376" s="92" t="s">
        <v>63</v>
      </c>
      <c r="J1376" s="90">
        <f>G1376*AO1376</f>
        <v>0</v>
      </c>
      <c r="K1376" s="90">
        <f>G1376*AP1376</f>
        <v>0</v>
      </c>
      <c r="L1376" s="90">
        <f>G1376*H1376</f>
        <v>0</v>
      </c>
      <c r="M1376" s="90">
        <f>L1376*(1+BW1376/100)</f>
        <v>0</v>
      </c>
      <c r="N1376" s="90">
        <v>4.2000000000000002E-4</v>
      </c>
      <c r="O1376" s="90">
        <f>G1376*N1376</f>
        <v>0.19278237719999999</v>
      </c>
      <c r="P1376" s="92" t="s">
        <v>64</v>
      </c>
      <c r="Z1376" s="93">
        <f>IF(AQ1376="5",BJ1376,0)</f>
        <v>0</v>
      </c>
      <c r="AB1376" s="93">
        <f>IF(AQ1376="1",BH1376,0)</f>
        <v>0</v>
      </c>
      <c r="AC1376" s="93">
        <f>IF(AQ1376="1",BI1376,0)</f>
        <v>0</v>
      </c>
      <c r="AD1376" s="93">
        <f>IF(AQ1376="7",BH1376,0)</f>
        <v>0</v>
      </c>
      <c r="AE1376" s="93">
        <f>IF(AQ1376="7",BI1376,0)</f>
        <v>0</v>
      </c>
      <c r="AF1376" s="93">
        <f>IF(AQ1376="2",BH1376,0)</f>
        <v>0</v>
      </c>
      <c r="AG1376" s="93">
        <f>IF(AQ1376="2",BI1376,0)</f>
        <v>0</v>
      </c>
      <c r="AH1376" s="93">
        <f>IF(AQ1376="0",BJ1376,0)</f>
        <v>0</v>
      </c>
      <c r="AI1376" s="88" t="s">
        <v>55</v>
      </c>
      <c r="AJ1376" s="93">
        <f>IF(AN1376=0,L1376,0)</f>
        <v>0</v>
      </c>
      <c r="AK1376" s="93">
        <f>IF(AN1376=12,L1376,0)</f>
        <v>0</v>
      </c>
      <c r="AL1376" s="93">
        <f>IF(AN1376=21,L1376,0)</f>
        <v>0</v>
      </c>
      <c r="AN1376" s="93">
        <v>21</v>
      </c>
      <c r="AO1376" s="93">
        <f>H1376*0.062410451</f>
        <v>0</v>
      </c>
      <c r="AP1376" s="93">
        <f>H1376*(1-0.062410451)</f>
        <v>0</v>
      </c>
      <c r="AQ1376" s="94" t="s">
        <v>148</v>
      </c>
      <c r="AV1376" s="93">
        <f>AW1376+AX1376</f>
        <v>0</v>
      </c>
      <c r="AW1376" s="93">
        <f>G1376*AO1376</f>
        <v>0</v>
      </c>
      <c r="AX1376" s="93">
        <f>G1376*AP1376</f>
        <v>0</v>
      </c>
      <c r="AY1376" s="94" t="s">
        <v>1453</v>
      </c>
      <c r="AZ1376" s="94" t="s">
        <v>1360</v>
      </c>
      <c r="BA1376" s="88" t="s">
        <v>67</v>
      </c>
      <c r="BC1376" s="93">
        <f>AW1376+AX1376</f>
        <v>0</v>
      </c>
      <c r="BD1376" s="93">
        <f>H1376/(100-BE1376)*100</f>
        <v>0</v>
      </c>
      <c r="BE1376" s="93">
        <v>0</v>
      </c>
      <c r="BF1376" s="93">
        <f>O1376</f>
        <v>0.19278237719999999</v>
      </c>
      <c r="BH1376" s="93">
        <f>G1376*AO1376</f>
        <v>0</v>
      </c>
      <c r="BI1376" s="93">
        <f>G1376*AP1376</f>
        <v>0</v>
      </c>
      <c r="BJ1376" s="93">
        <f>G1376*H1376</f>
        <v>0</v>
      </c>
      <c r="BK1376" s="93"/>
      <c r="BL1376" s="93">
        <v>712</v>
      </c>
      <c r="BW1376" s="93" t="str">
        <f>I1376</f>
        <v>21</v>
      </c>
      <c r="BX1376" s="2" t="s">
        <v>1507</v>
      </c>
    </row>
    <row r="1377" spans="1:76" s="81" customFormat="1" ht="25.5" x14ac:dyDescent="0.25">
      <c r="A1377" s="66" t="s">
        <v>1511</v>
      </c>
      <c r="B1377" s="72" t="s">
        <v>55</v>
      </c>
      <c r="C1377" s="72" t="s">
        <v>1463</v>
      </c>
      <c r="D1377" s="174" t="s">
        <v>1464</v>
      </c>
      <c r="E1377" s="174"/>
      <c r="F1377" s="72" t="s">
        <v>192</v>
      </c>
      <c r="G1377" s="90">
        <v>550.80678999999998</v>
      </c>
      <c r="H1377" s="91"/>
      <c r="I1377" s="92" t="s">
        <v>63</v>
      </c>
      <c r="J1377" s="90">
        <f>G1377*AO1377</f>
        <v>0</v>
      </c>
      <c r="K1377" s="90">
        <f>G1377*AP1377</f>
        <v>0</v>
      </c>
      <c r="L1377" s="90">
        <f>G1377*H1377</f>
        <v>0</v>
      </c>
      <c r="M1377" s="90">
        <f>L1377*(1+BW1377/100)</f>
        <v>0</v>
      </c>
      <c r="N1377" s="90">
        <v>4.4999999999999997E-3</v>
      </c>
      <c r="O1377" s="90">
        <f>G1377*N1377</f>
        <v>2.4786305549999996</v>
      </c>
      <c r="P1377" s="92" t="s">
        <v>64</v>
      </c>
      <c r="Z1377" s="93">
        <f>IF(AQ1377="5",BJ1377,0)</f>
        <v>0</v>
      </c>
      <c r="AB1377" s="93">
        <f>IF(AQ1377="1",BH1377,0)</f>
        <v>0</v>
      </c>
      <c r="AC1377" s="93">
        <f>IF(AQ1377="1",BI1377,0)</f>
        <v>0</v>
      </c>
      <c r="AD1377" s="93">
        <f>IF(AQ1377="7",BH1377,0)</f>
        <v>0</v>
      </c>
      <c r="AE1377" s="93">
        <f>IF(AQ1377="7",BI1377,0)</f>
        <v>0</v>
      </c>
      <c r="AF1377" s="93">
        <f>IF(AQ1377="2",BH1377,0)</f>
        <v>0</v>
      </c>
      <c r="AG1377" s="93">
        <f>IF(AQ1377="2",BI1377,0)</f>
        <v>0</v>
      </c>
      <c r="AH1377" s="93">
        <f>IF(AQ1377="0",BJ1377,0)</f>
        <v>0</v>
      </c>
      <c r="AI1377" s="88" t="s">
        <v>55</v>
      </c>
      <c r="AJ1377" s="93">
        <f>IF(AN1377=0,L1377,0)</f>
        <v>0</v>
      </c>
      <c r="AK1377" s="93">
        <f>IF(AN1377=12,L1377,0)</f>
        <v>0</v>
      </c>
      <c r="AL1377" s="93">
        <f>IF(AN1377=21,L1377,0)</f>
        <v>0</v>
      </c>
      <c r="AN1377" s="93">
        <v>21</v>
      </c>
      <c r="AO1377" s="93">
        <f>H1377*1</f>
        <v>0</v>
      </c>
      <c r="AP1377" s="93">
        <f>H1377*(1-1)</f>
        <v>0</v>
      </c>
      <c r="AQ1377" s="94" t="s">
        <v>148</v>
      </c>
      <c r="AV1377" s="93">
        <f>AW1377+AX1377</f>
        <v>0</v>
      </c>
      <c r="AW1377" s="93">
        <f>G1377*AO1377</f>
        <v>0</v>
      </c>
      <c r="AX1377" s="93">
        <f>G1377*AP1377</f>
        <v>0</v>
      </c>
      <c r="AY1377" s="94" t="s">
        <v>1453</v>
      </c>
      <c r="AZ1377" s="94" t="s">
        <v>1360</v>
      </c>
      <c r="BA1377" s="88" t="s">
        <v>67</v>
      </c>
      <c r="BC1377" s="93">
        <f>AW1377+AX1377</f>
        <v>0</v>
      </c>
      <c r="BD1377" s="93">
        <f>H1377/(100-BE1377)*100</f>
        <v>0</v>
      </c>
      <c r="BE1377" s="93">
        <v>0</v>
      </c>
      <c r="BF1377" s="93">
        <f>O1377</f>
        <v>2.4786305549999996</v>
      </c>
      <c r="BH1377" s="93">
        <f>G1377*AO1377</f>
        <v>0</v>
      </c>
      <c r="BI1377" s="93">
        <f>G1377*AP1377</f>
        <v>0</v>
      </c>
      <c r="BJ1377" s="93">
        <f>G1377*H1377</f>
        <v>0</v>
      </c>
      <c r="BK1377" s="93"/>
      <c r="BL1377" s="93">
        <v>712</v>
      </c>
      <c r="BW1377" s="93" t="str">
        <f>I1377</f>
        <v>21</v>
      </c>
      <c r="BX1377" s="2" t="s">
        <v>1464</v>
      </c>
    </row>
    <row r="1378" spans="1:76" s="81" customFormat="1" x14ac:dyDescent="0.25">
      <c r="A1378" s="110"/>
      <c r="B1378" s="95"/>
      <c r="C1378" s="95"/>
      <c r="D1378" s="76" t="s">
        <v>1509</v>
      </c>
      <c r="E1378" s="76" t="s">
        <v>54</v>
      </c>
      <c r="F1378" s="95"/>
      <c r="G1378" s="96">
        <v>459.00565999999998</v>
      </c>
      <c r="H1378" s="97"/>
      <c r="I1378" s="95"/>
      <c r="J1378" s="95"/>
      <c r="K1378" s="95"/>
      <c r="L1378" s="95"/>
      <c r="M1378" s="95"/>
      <c r="N1378" s="95"/>
      <c r="O1378" s="95"/>
      <c r="P1378" s="95"/>
    </row>
    <row r="1379" spans="1:76" s="81" customFormat="1" x14ac:dyDescent="0.25">
      <c r="A1379" s="110"/>
      <c r="B1379" s="95"/>
      <c r="C1379" s="95"/>
      <c r="D1379" s="76" t="s">
        <v>1510</v>
      </c>
      <c r="E1379" s="76" t="s">
        <v>54</v>
      </c>
      <c r="F1379" s="95"/>
      <c r="G1379" s="96">
        <v>91.801130000000001</v>
      </c>
      <c r="H1379" s="97"/>
      <c r="I1379" s="95"/>
      <c r="J1379" s="95"/>
      <c r="K1379" s="95"/>
      <c r="L1379" s="95"/>
      <c r="M1379" s="95"/>
      <c r="N1379" s="95"/>
      <c r="O1379" s="95"/>
      <c r="P1379" s="95"/>
    </row>
    <row r="1380" spans="1:76" s="81" customFormat="1" ht="25.5" x14ac:dyDescent="0.25">
      <c r="A1380" s="66" t="s">
        <v>1514</v>
      </c>
      <c r="B1380" s="72" t="s">
        <v>55</v>
      </c>
      <c r="C1380" s="72" t="s">
        <v>1512</v>
      </c>
      <c r="D1380" s="174" t="s">
        <v>1513</v>
      </c>
      <c r="E1380" s="174"/>
      <c r="F1380" s="72" t="s">
        <v>192</v>
      </c>
      <c r="G1380" s="90">
        <v>450.38774000000001</v>
      </c>
      <c r="H1380" s="91"/>
      <c r="I1380" s="92" t="s">
        <v>63</v>
      </c>
      <c r="J1380" s="90">
        <f>G1380*AO1380</f>
        <v>0</v>
      </c>
      <c r="K1380" s="90">
        <f>G1380*AP1380</f>
        <v>0</v>
      </c>
      <c r="L1380" s="90">
        <f>G1380*H1380</f>
        <v>0</v>
      </c>
      <c r="M1380" s="90">
        <f>L1380*(1+BW1380/100)</f>
        <v>0</v>
      </c>
      <c r="N1380" s="90">
        <v>5.8199999999999997E-3</v>
      </c>
      <c r="O1380" s="90">
        <f>G1380*N1380</f>
        <v>2.6212566468</v>
      </c>
      <c r="P1380" s="92" t="s">
        <v>371</v>
      </c>
      <c r="Z1380" s="93">
        <f>IF(AQ1380="5",BJ1380,0)</f>
        <v>0</v>
      </c>
      <c r="AB1380" s="93">
        <f>IF(AQ1380="1",BH1380,0)</f>
        <v>0</v>
      </c>
      <c r="AC1380" s="93">
        <f>IF(AQ1380="1",BI1380,0)</f>
        <v>0</v>
      </c>
      <c r="AD1380" s="93">
        <f>IF(AQ1380="7",BH1380,0)</f>
        <v>0</v>
      </c>
      <c r="AE1380" s="93">
        <f>IF(AQ1380="7",BI1380,0)</f>
        <v>0</v>
      </c>
      <c r="AF1380" s="93">
        <f>IF(AQ1380="2",BH1380,0)</f>
        <v>0</v>
      </c>
      <c r="AG1380" s="93">
        <f>IF(AQ1380="2",BI1380,0)</f>
        <v>0</v>
      </c>
      <c r="AH1380" s="93">
        <f>IF(AQ1380="0",BJ1380,0)</f>
        <v>0</v>
      </c>
      <c r="AI1380" s="88" t="s">
        <v>55</v>
      </c>
      <c r="AJ1380" s="93">
        <f>IF(AN1380=0,L1380,0)</f>
        <v>0</v>
      </c>
      <c r="AK1380" s="93">
        <f>IF(AN1380=12,L1380,0)</f>
        <v>0</v>
      </c>
      <c r="AL1380" s="93">
        <f>IF(AN1380=21,L1380,0)</f>
        <v>0</v>
      </c>
      <c r="AN1380" s="93">
        <v>21</v>
      </c>
      <c r="AO1380" s="93">
        <f>H1380*0.73290829</f>
        <v>0</v>
      </c>
      <c r="AP1380" s="93">
        <f>H1380*(1-0.73290829)</f>
        <v>0</v>
      </c>
      <c r="AQ1380" s="94" t="s">
        <v>148</v>
      </c>
      <c r="AV1380" s="93">
        <f>AW1380+AX1380</f>
        <v>0</v>
      </c>
      <c r="AW1380" s="93">
        <f>G1380*AO1380</f>
        <v>0</v>
      </c>
      <c r="AX1380" s="93">
        <f>G1380*AP1380</f>
        <v>0</v>
      </c>
      <c r="AY1380" s="94" t="s">
        <v>1453</v>
      </c>
      <c r="AZ1380" s="94" t="s">
        <v>1360</v>
      </c>
      <c r="BA1380" s="88" t="s">
        <v>67</v>
      </c>
      <c r="BC1380" s="93">
        <f>AW1380+AX1380</f>
        <v>0</v>
      </c>
      <c r="BD1380" s="93">
        <f>H1380/(100-BE1380)*100</f>
        <v>0</v>
      </c>
      <c r="BE1380" s="93">
        <v>0</v>
      </c>
      <c r="BF1380" s="93">
        <f>O1380</f>
        <v>2.6212566468</v>
      </c>
      <c r="BH1380" s="93">
        <f>G1380*AO1380</f>
        <v>0</v>
      </c>
      <c r="BI1380" s="93">
        <f>G1380*AP1380</f>
        <v>0</v>
      </c>
      <c r="BJ1380" s="93">
        <f>G1380*H1380</f>
        <v>0</v>
      </c>
      <c r="BK1380" s="93"/>
      <c r="BL1380" s="93">
        <v>712</v>
      </c>
      <c r="BW1380" s="93" t="str">
        <f>I1380</f>
        <v>21</v>
      </c>
      <c r="BX1380" s="2" t="s">
        <v>1513</v>
      </c>
    </row>
    <row r="1381" spans="1:76" s="81" customFormat="1" ht="13.5" customHeight="1" x14ac:dyDescent="0.25">
      <c r="A1381" s="110"/>
      <c r="B1381" s="95"/>
      <c r="C1381" s="95"/>
      <c r="D1381" s="179" t="s">
        <v>1475</v>
      </c>
      <c r="E1381" s="179"/>
      <c r="F1381" s="179"/>
      <c r="G1381" s="179"/>
      <c r="H1381" s="179"/>
      <c r="I1381" s="179"/>
      <c r="J1381" s="179"/>
      <c r="K1381" s="179"/>
      <c r="L1381" s="179"/>
      <c r="M1381" s="179"/>
      <c r="N1381" s="179"/>
      <c r="O1381" s="179"/>
      <c r="P1381" s="179"/>
    </row>
    <row r="1382" spans="1:76" s="81" customFormat="1" ht="25.5" x14ac:dyDescent="0.25">
      <c r="A1382" s="66" t="s">
        <v>1517</v>
      </c>
      <c r="B1382" s="72" t="s">
        <v>55</v>
      </c>
      <c r="C1382" s="72" t="s">
        <v>1515</v>
      </c>
      <c r="D1382" s="174" t="s">
        <v>1516</v>
      </c>
      <c r="E1382" s="174"/>
      <c r="F1382" s="72" t="s">
        <v>192</v>
      </c>
      <c r="G1382" s="90">
        <v>8.6179199999999998</v>
      </c>
      <c r="H1382" s="91"/>
      <c r="I1382" s="92" t="s">
        <v>63</v>
      </c>
      <c r="J1382" s="90">
        <f>G1382*AO1382</f>
        <v>0</v>
      </c>
      <c r="K1382" s="90">
        <f>G1382*AP1382</f>
        <v>0</v>
      </c>
      <c r="L1382" s="90">
        <f>G1382*H1382</f>
        <v>0</v>
      </c>
      <c r="M1382" s="90">
        <f>L1382*(1+BW1382/100)</f>
        <v>0</v>
      </c>
      <c r="N1382" s="90">
        <v>2.9499999999999999E-3</v>
      </c>
      <c r="O1382" s="90">
        <f>G1382*N1382</f>
        <v>2.5422864E-2</v>
      </c>
      <c r="P1382" s="92" t="s">
        <v>64</v>
      </c>
      <c r="Z1382" s="93">
        <f>IF(AQ1382="5",BJ1382,0)</f>
        <v>0</v>
      </c>
      <c r="AB1382" s="93">
        <f>IF(AQ1382="1",BH1382,0)</f>
        <v>0</v>
      </c>
      <c r="AC1382" s="93">
        <f>IF(AQ1382="1",BI1382,0)</f>
        <v>0</v>
      </c>
      <c r="AD1382" s="93">
        <f>IF(AQ1382="7",BH1382,0)</f>
        <v>0</v>
      </c>
      <c r="AE1382" s="93">
        <f>IF(AQ1382="7",BI1382,0)</f>
        <v>0</v>
      </c>
      <c r="AF1382" s="93">
        <f>IF(AQ1382="2",BH1382,0)</f>
        <v>0</v>
      </c>
      <c r="AG1382" s="93">
        <f>IF(AQ1382="2",BI1382,0)</f>
        <v>0</v>
      </c>
      <c r="AH1382" s="93">
        <f>IF(AQ1382="0",BJ1382,0)</f>
        <v>0</v>
      </c>
      <c r="AI1382" s="88" t="s">
        <v>55</v>
      </c>
      <c r="AJ1382" s="93">
        <f>IF(AN1382=0,L1382,0)</f>
        <v>0</v>
      </c>
      <c r="AK1382" s="93">
        <f>IF(AN1382=12,L1382,0)</f>
        <v>0</v>
      </c>
      <c r="AL1382" s="93">
        <f>IF(AN1382=21,L1382,0)</f>
        <v>0</v>
      </c>
      <c r="AN1382" s="93">
        <v>21</v>
      </c>
      <c r="AO1382" s="93">
        <f>H1382*0.730965663</f>
        <v>0</v>
      </c>
      <c r="AP1382" s="93">
        <f>H1382*(1-0.730965663)</f>
        <v>0</v>
      </c>
      <c r="AQ1382" s="94" t="s">
        <v>148</v>
      </c>
      <c r="AV1382" s="93">
        <f>AW1382+AX1382</f>
        <v>0</v>
      </c>
      <c r="AW1382" s="93">
        <f>G1382*AO1382</f>
        <v>0</v>
      </c>
      <c r="AX1382" s="93">
        <f>G1382*AP1382</f>
        <v>0</v>
      </c>
      <c r="AY1382" s="94" t="s">
        <v>1453</v>
      </c>
      <c r="AZ1382" s="94" t="s">
        <v>1360</v>
      </c>
      <c r="BA1382" s="88" t="s">
        <v>67</v>
      </c>
      <c r="BC1382" s="93">
        <f>AW1382+AX1382</f>
        <v>0</v>
      </c>
      <c r="BD1382" s="93">
        <f>H1382/(100-BE1382)*100</f>
        <v>0</v>
      </c>
      <c r="BE1382" s="93">
        <v>0</v>
      </c>
      <c r="BF1382" s="93">
        <f>O1382</f>
        <v>2.5422864E-2</v>
      </c>
      <c r="BH1382" s="93">
        <f>G1382*AO1382</f>
        <v>0</v>
      </c>
      <c r="BI1382" s="93">
        <f>G1382*AP1382</f>
        <v>0</v>
      </c>
      <c r="BJ1382" s="93">
        <f>G1382*H1382</f>
        <v>0</v>
      </c>
      <c r="BK1382" s="93"/>
      <c r="BL1382" s="93">
        <v>712</v>
      </c>
      <c r="BW1382" s="93" t="str">
        <f>I1382</f>
        <v>21</v>
      </c>
      <c r="BX1382" s="2" t="s">
        <v>1516</v>
      </c>
    </row>
    <row r="1383" spans="1:76" s="81" customFormat="1" ht="13.5" customHeight="1" x14ac:dyDescent="0.25">
      <c r="A1383" s="110"/>
      <c r="B1383" s="95"/>
      <c r="C1383" s="95"/>
      <c r="D1383" s="179" t="s">
        <v>1491</v>
      </c>
      <c r="E1383" s="179"/>
      <c r="F1383" s="179"/>
      <c r="G1383" s="179"/>
      <c r="H1383" s="179"/>
      <c r="I1383" s="179"/>
      <c r="J1383" s="179"/>
      <c r="K1383" s="179"/>
      <c r="L1383" s="179"/>
      <c r="M1383" s="179"/>
      <c r="N1383" s="179"/>
      <c r="O1383" s="179"/>
      <c r="P1383" s="179"/>
    </row>
    <row r="1384" spans="1:76" s="81" customFormat="1" x14ac:dyDescent="0.25">
      <c r="A1384" s="110"/>
      <c r="B1384" s="95"/>
      <c r="C1384" s="95"/>
      <c r="D1384" s="76" t="s">
        <v>54</v>
      </c>
      <c r="E1384" s="76" t="s">
        <v>1216</v>
      </c>
      <c r="F1384" s="95"/>
      <c r="G1384" s="96">
        <v>0</v>
      </c>
      <c r="H1384" s="95"/>
      <c r="I1384" s="95"/>
      <c r="J1384" s="95"/>
      <c r="K1384" s="95"/>
      <c r="L1384" s="95"/>
      <c r="M1384" s="95"/>
      <c r="N1384" s="95"/>
      <c r="O1384" s="95"/>
      <c r="P1384" s="95"/>
    </row>
    <row r="1385" spans="1:76" s="81" customFormat="1" x14ac:dyDescent="0.25">
      <c r="A1385" s="110"/>
      <c r="B1385" s="95"/>
      <c r="C1385" s="95"/>
      <c r="D1385" s="76" t="s">
        <v>1504</v>
      </c>
      <c r="E1385" s="76" t="s">
        <v>54</v>
      </c>
      <c r="F1385" s="95"/>
      <c r="G1385" s="96">
        <v>8.6179199999999998</v>
      </c>
      <c r="H1385" s="95"/>
      <c r="I1385" s="95"/>
      <c r="J1385" s="95"/>
      <c r="K1385" s="95"/>
      <c r="L1385" s="95"/>
      <c r="M1385" s="95"/>
      <c r="N1385" s="95"/>
      <c r="O1385" s="95"/>
      <c r="P1385" s="95"/>
    </row>
    <row r="1386" spans="1:76" s="81" customFormat="1" ht="25.5" x14ac:dyDescent="0.25">
      <c r="A1386" s="66" t="s">
        <v>1522</v>
      </c>
      <c r="B1386" s="72" t="s">
        <v>55</v>
      </c>
      <c r="C1386" s="72" t="s">
        <v>1518</v>
      </c>
      <c r="D1386" s="174" t="s">
        <v>1519</v>
      </c>
      <c r="E1386" s="174"/>
      <c r="F1386" s="72" t="s">
        <v>1447</v>
      </c>
      <c r="G1386" s="91"/>
      <c r="H1386" s="91"/>
      <c r="I1386" s="92" t="s">
        <v>63</v>
      </c>
      <c r="J1386" s="90">
        <f>G1386*AO1386</f>
        <v>0</v>
      </c>
      <c r="K1386" s="90">
        <f>G1386*AP1386</f>
        <v>0</v>
      </c>
      <c r="L1386" s="90">
        <f>G1386*H1386</f>
        <v>0</v>
      </c>
      <c r="M1386" s="90">
        <f>L1386*(1+BW1386/100)</f>
        <v>0</v>
      </c>
      <c r="N1386" s="90">
        <v>0</v>
      </c>
      <c r="O1386" s="90">
        <f>G1386*N1386</f>
        <v>0</v>
      </c>
      <c r="P1386" s="92" t="s">
        <v>64</v>
      </c>
      <c r="Z1386" s="93">
        <f>IF(AQ1386="5",BJ1386,0)</f>
        <v>0</v>
      </c>
      <c r="AB1386" s="93">
        <f>IF(AQ1386="1",BH1386,0)</f>
        <v>0</v>
      </c>
      <c r="AC1386" s="93">
        <f>IF(AQ1386="1",BI1386,0)</f>
        <v>0</v>
      </c>
      <c r="AD1386" s="93">
        <f>IF(AQ1386="7",BH1386,0)</f>
        <v>0</v>
      </c>
      <c r="AE1386" s="93">
        <f>IF(AQ1386="7",BI1386,0)</f>
        <v>0</v>
      </c>
      <c r="AF1386" s="93">
        <f>IF(AQ1386="2",BH1386,0)</f>
        <v>0</v>
      </c>
      <c r="AG1386" s="93">
        <f>IF(AQ1386="2",BI1386,0)</f>
        <v>0</v>
      </c>
      <c r="AH1386" s="93">
        <f>IF(AQ1386="0",BJ1386,0)</f>
        <v>0</v>
      </c>
      <c r="AI1386" s="88" t="s">
        <v>55</v>
      </c>
      <c r="AJ1386" s="93">
        <f>IF(AN1386=0,L1386,0)</f>
        <v>0</v>
      </c>
      <c r="AK1386" s="93">
        <f>IF(AN1386=12,L1386,0)</f>
        <v>0</v>
      </c>
      <c r="AL1386" s="93">
        <f>IF(AN1386=21,L1386,0)</f>
        <v>0</v>
      </c>
      <c r="AN1386" s="93">
        <v>21</v>
      </c>
      <c r="AO1386" s="93">
        <f>H1386*0</f>
        <v>0</v>
      </c>
      <c r="AP1386" s="93">
        <f>H1386*(1-0)</f>
        <v>0</v>
      </c>
      <c r="AQ1386" s="94" t="s">
        <v>136</v>
      </c>
      <c r="AV1386" s="93">
        <f>AW1386+AX1386</f>
        <v>0</v>
      </c>
      <c r="AW1386" s="93">
        <f>G1386*AO1386</f>
        <v>0</v>
      </c>
      <c r="AX1386" s="93">
        <f>G1386*AP1386</f>
        <v>0</v>
      </c>
      <c r="AY1386" s="94" t="s">
        <v>1453</v>
      </c>
      <c r="AZ1386" s="94" t="s">
        <v>1360</v>
      </c>
      <c r="BA1386" s="88" t="s">
        <v>67</v>
      </c>
      <c r="BC1386" s="93">
        <f>AW1386+AX1386</f>
        <v>0</v>
      </c>
      <c r="BD1386" s="93">
        <f>H1386/(100-BE1386)*100</f>
        <v>0</v>
      </c>
      <c r="BE1386" s="93">
        <v>0</v>
      </c>
      <c r="BF1386" s="93">
        <f>O1386</f>
        <v>0</v>
      </c>
      <c r="BH1386" s="93">
        <f>G1386*AO1386</f>
        <v>0</v>
      </c>
      <c r="BI1386" s="93">
        <f>G1386*AP1386</f>
        <v>0</v>
      </c>
      <c r="BJ1386" s="93">
        <f>G1386*H1386</f>
        <v>0</v>
      </c>
      <c r="BK1386" s="93"/>
      <c r="BL1386" s="93">
        <v>712</v>
      </c>
      <c r="BW1386" s="93" t="str">
        <f>I1386</f>
        <v>21</v>
      </c>
      <c r="BX1386" s="2" t="s">
        <v>1519</v>
      </c>
    </row>
    <row r="1387" spans="1:76" s="81" customFormat="1" x14ac:dyDescent="0.25">
      <c r="A1387" s="109" t="s">
        <v>54</v>
      </c>
      <c r="B1387" s="74" t="s">
        <v>55</v>
      </c>
      <c r="C1387" s="74" t="s">
        <v>1520</v>
      </c>
      <c r="D1387" s="180" t="s">
        <v>1521</v>
      </c>
      <c r="E1387" s="180"/>
      <c r="F1387" s="85" t="s">
        <v>4</v>
      </c>
      <c r="G1387" s="85" t="s">
        <v>4</v>
      </c>
      <c r="H1387" s="85" t="s">
        <v>4</v>
      </c>
      <c r="I1387" s="85" t="s">
        <v>4</v>
      </c>
      <c r="J1387" s="86">
        <f>SUM(J1388:J1552)</f>
        <v>0</v>
      </c>
      <c r="K1387" s="86">
        <f>SUM(K1388:K1552)</f>
        <v>0</v>
      </c>
      <c r="L1387" s="86">
        <f>SUM(L1388:L1552)</f>
        <v>0</v>
      </c>
      <c r="M1387" s="86">
        <f>SUM(M1388:M1552)</f>
        <v>0</v>
      </c>
      <c r="N1387" s="87" t="s">
        <v>54</v>
      </c>
      <c r="O1387" s="86">
        <f>SUM(O1388:O1552)</f>
        <v>25.581259621300006</v>
      </c>
      <c r="P1387" s="87" t="s">
        <v>54</v>
      </c>
      <c r="AI1387" s="88" t="s">
        <v>55</v>
      </c>
      <c r="AS1387" s="89">
        <f>SUM(AJ1388:AJ1552)</f>
        <v>0</v>
      </c>
      <c r="AT1387" s="89">
        <f>SUM(AK1388:AK1552)</f>
        <v>0</v>
      </c>
      <c r="AU1387" s="89">
        <f>SUM(AL1388:AL1552)</f>
        <v>0</v>
      </c>
    </row>
    <row r="1388" spans="1:76" s="81" customFormat="1" ht="25.5" x14ac:dyDescent="0.25">
      <c r="A1388" s="66" t="s">
        <v>1528</v>
      </c>
      <c r="B1388" s="72" t="s">
        <v>55</v>
      </c>
      <c r="C1388" s="72" t="s">
        <v>1523</v>
      </c>
      <c r="D1388" s="174" t="s">
        <v>1524</v>
      </c>
      <c r="E1388" s="174"/>
      <c r="F1388" s="72" t="s">
        <v>192</v>
      </c>
      <c r="G1388" s="90">
        <v>26.864999999999998</v>
      </c>
      <c r="H1388" s="91"/>
      <c r="I1388" s="103">
        <v>21</v>
      </c>
      <c r="J1388" s="90">
        <f>ROUND(G1388*AO1388,2)</f>
        <v>0</v>
      </c>
      <c r="K1388" s="90">
        <f>ROUND(G1388*AP1388,2)</f>
        <v>0</v>
      </c>
      <c r="L1388" s="90">
        <f>ROUND(G1388*H1388,2)</f>
        <v>0</v>
      </c>
      <c r="M1388" s="90">
        <f>L1388*(1+BW1388/100)</f>
        <v>0</v>
      </c>
      <c r="N1388" s="90">
        <v>3.0000000000000001E-3</v>
      </c>
      <c r="O1388" s="90">
        <f>G1388*N1388</f>
        <v>8.0595E-2</v>
      </c>
      <c r="P1388" s="92" t="s">
        <v>64</v>
      </c>
      <c r="Z1388" s="93">
        <f>ROUND(IF(AQ1388="5",BJ1388,0),2)</f>
        <v>0</v>
      </c>
      <c r="AB1388" s="93">
        <f>ROUND(IF(AQ1388="1",BH1388,0),2)</f>
        <v>0</v>
      </c>
      <c r="AC1388" s="93">
        <f>ROUND(IF(AQ1388="1",BI1388,0),2)</f>
        <v>0</v>
      </c>
      <c r="AD1388" s="93">
        <f>ROUND(IF(AQ1388="7",BH1388,0),2)</f>
        <v>0</v>
      </c>
      <c r="AE1388" s="93">
        <f>ROUND(IF(AQ1388="7",BI1388,0),2)</f>
        <v>0</v>
      </c>
      <c r="AF1388" s="93">
        <f>ROUND(IF(AQ1388="2",BH1388,0),2)</f>
        <v>0</v>
      </c>
      <c r="AG1388" s="93">
        <f>ROUND(IF(AQ1388="2",BI1388,0),2)</f>
        <v>0</v>
      </c>
      <c r="AH1388" s="93">
        <f>ROUND(IF(AQ1388="0",BJ1388,0),2)</f>
        <v>0</v>
      </c>
      <c r="AI1388" s="88" t="s">
        <v>55</v>
      </c>
      <c r="AJ1388" s="93">
        <f>IF(AN1388=0,L1388,0)</f>
        <v>0</v>
      </c>
      <c r="AK1388" s="93">
        <f>IF(AN1388=12,L1388,0)</f>
        <v>0</v>
      </c>
      <c r="AL1388" s="93">
        <f>IF(AN1388=21,L1388,0)</f>
        <v>0</v>
      </c>
      <c r="AN1388" s="93">
        <v>21</v>
      </c>
      <c r="AO1388" s="93">
        <f>H1388*0.241538891</f>
        <v>0</v>
      </c>
      <c r="AP1388" s="93">
        <f>H1388*(1-0.241538891)</f>
        <v>0</v>
      </c>
      <c r="AQ1388" s="94" t="s">
        <v>148</v>
      </c>
      <c r="AV1388" s="93">
        <f>ROUND(AW1388+AX1388,2)</f>
        <v>0</v>
      </c>
      <c r="AW1388" s="93">
        <f>ROUND(G1388*AO1388,2)</f>
        <v>0</v>
      </c>
      <c r="AX1388" s="93">
        <f>ROUND(G1388*AP1388,2)</f>
        <v>0</v>
      </c>
      <c r="AY1388" s="94" t="s">
        <v>1525</v>
      </c>
      <c r="AZ1388" s="94" t="s">
        <v>1360</v>
      </c>
      <c r="BA1388" s="88" t="s">
        <v>67</v>
      </c>
      <c r="BC1388" s="93">
        <f>AW1388+AX1388</f>
        <v>0</v>
      </c>
      <c r="BD1388" s="93">
        <f>H1388/(100-BE1388)*100</f>
        <v>0</v>
      </c>
      <c r="BE1388" s="93">
        <v>0</v>
      </c>
      <c r="BF1388" s="93">
        <f>O1388</f>
        <v>8.0595E-2</v>
      </c>
      <c r="BH1388" s="93">
        <f>G1388*AO1388</f>
        <v>0</v>
      </c>
      <c r="BI1388" s="93">
        <f>G1388*AP1388</f>
        <v>0</v>
      </c>
      <c r="BJ1388" s="93">
        <f>G1388*H1388</f>
        <v>0</v>
      </c>
      <c r="BK1388" s="93"/>
      <c r="BL1388" s="93">
        <v>713</v>
      </c>
      <c r="BW1388" s="93">
        <f>I1388</f>
        <v>21</v>
      </c>
      <c r="BX1388" s="2" t="s">
        <v>1524</v>
      </c>
    </row>
    <row r="1389" spans="1:76" s="81" customFormat="1" x14ac:dyDescent="0.25">
      <c r="A1389" s="110"/>
      <c r="B1389" s="95"/>
      <c r="C1389" s="95"/>
      <c r="D1389" s="76" t="s">
        <v>54</v>
      </c>
      <c r="E1389" s="76" t="s">
        <v>294</v>
      </c>
      <c r="F1389" s="95"/>
      <c r="G1389" s="96">
        <v>0</v>
      </c>
      <c r="H1389" s="97"/>
      <c r="I1389" s="95"/>
      <c r="J1389" s="95"/>
      <c r="K1389" s="95"/>
      <c r="L1389" s="95"/>
      <c r="M1389" s="95"/>
      <c r="N1389" s="95"/>
      <c r="O1389" s="95"/>
      <c r="P1389" s="95"/>
    </row>
    <row r="1390" spans="1:76" s="81" customFormat="1" ht="25.5" x14ac:dyDescent="0.25">
      <c r="A1390" s="110"/>
      <c r="B1390" s="95"/>
      <c r="C1390" s="95"/>
      <c r="D1390" s="76" t="s">
        <v>54</v>
      </c>
      <c r="E1390" s="76" t="s">
        <v>1526</v>
      </c>
      <c r="F1390" s="95"/>
      <c r="G1390" s="96">
        <v>0</v>
      </c>
      <c r="H1390" s="97"/>
      <c r="I1390" s="95"/>
      <c r="J1390" s="95"/>
      <c r="K1390" s="95"/>
      <c r="L1390" s="95"/>
      <c r="M1390" s="95"/>
      <c r="N1390" s="95"/>
      <c r="O1390" s="95"/>
      <c r="P1390" s="95"/>
    </row>
    <row r="1391" spans="1:76" s="81" customFormat="1" x14ac:dyDescent="0.25">
      <c r="A1391" s="110"/>
      <c r="B1391" s="95"/>
      <c r="C1391" s="95"/>
      <c r="D1391" s="76" t="s">
        <v>1527</v>
      </c>
      <c r="E1391" s="76" t="s">
        <v>54</v>
      </c>
      <c r="F1391" s="95"/>
      <c r="G1391" s="96">
        <v>26.864999999999998</v>
      </c>
      <c r="H1391" s="97"/>
      <c r="I1391" s="95"/>
      <c r="J1391" s="95"/>
      <c r="K1391" s="95"/>
      <c r="L1391" s="95"/>
      <c r="M1391" s="95"/>
      <c r="N1391" s="95"/>
      <c r="O1391" s="95"/>
      <c r="P1391" s="95"/>
    </row>
    <row r="1392" spans="1:76" s="81" customFormat="1" ht="25.5" x14ac:dyDescent="0.25">
      <c r="A1392" s="66" t="s">
        <v>1533</v>
      </c>
      <c r="B1392" s="72" t="s">
        <v>55</v>
      </c>
      <c r="C1392" s="72" t="s">
        <v>1529</v>
      </c>
      <c r="D1392" s="174" t="s">
        <v>1530</v>
      </c>
      <c r="E1392" s="174"/>
      <c r="F1392" s="72" t="s">
        <v>192</v>
      </c>
      <c r="G1392" s="90">
        <v>27.4023</v>
      </c>
      <c r="H1392" s="91"/>
      <c r="I1392" s="103">
        <v>21</v>
      </c>
      <c r="J1392" s="90">
        <f>ROUND(G1392*AO1392,2)</f>
        <v>0</v>
      </c>
      <c r="K1392" s="90">
        <f>ROUND(G1392*AP1392,2)</f>
        <v>0</v>
      </c>
      <c r="L1392" s="90">
        <f>ROUND(G1392*H1392,2)</f>
        <v>0</v>
      </c>
      <c r="M1392" s="90">
        <f>L1392*(1+BW1392/100)</f>
        <v>0</v>
      </c>
      <c r="N1392" s="90">
        <v>2.3999999999999998E-3</v>
      </c>
      <c r="O1392" s="90">
        <f>G1392*N1392</f>
        <v>6.5765519999999994E-2</v>
      </c>
      <c r="P1392" s="92" t="s">
        <v>64</v>
      </c>
      <c r="Z1392" s="93">
        <f>ROUND(IF(AQ1392="5",BJ1392,0),2)</f>
        <v>0</v>
      </c>
      <c r="AB1392" s="93">
        <f>ROUND(IF(AQ1392="1",BH1392,0),2)</f>
        <v>0</v>
      </c>
      <c r="AC1392" s="93">
        <f>ROUND(IF(AQ1392="1",BI1392,0),2)</f>
        <v>0</v>
      </c>
      <c r="AD1392" s="93">
        <f>ROUND(IF(AQ1392="7",BH1392,0),2)</f>
        <v>0</v>
      </c>
      <c r="AE1392" s="93">
        <f>ROUND(IF(AQ1392="7",BI1392,0),2)</f>
        <v>0</v>
      </c>
      <c r="AF1392" s="93">
        <f>ROUND(IF(AQ1392="2",BH1392,0),2)</f>
        <v>0</v>
      </c>
      <c r="AG1392" s="93">
        <f>ROUND(IF(AQ1392="2",BI1392,0),2)</f>
        <v>0</v>
      </c>
      <c r="AH1392" s="93">
        <f>ROUND(IF(AQ1392="0",BJ1392,0),2)</f>
        <v>0</v>
      </c>
      <c r="AI1392" s="88" t="s">
        <v>55</v>
      </c>
      <c r="AJ1392" s="93">
        <f>IF(AN1392=0,L1392,0)</f>
        <v>0</v>
      </c>
      <c r="AK1392" s="93">
        <f>IF(AN1392=12,L1392,0)</f>
        <v>0</v>
      </c>
      <c r="AL1392" s="93">
        <f>IF(AN1392=21,L1392,0)</f>
        <v>0</v>
      </c>
      <c r="AN1392" s="93">
        <v>21</v>
      </c>
      <c r="AO1392" s="93">
        <f>H1392*1</f>
        <v>0</v>
      </c>
      <c r="AP1392" s="93">
        <f>H1392*(1-1)</f>
        <v>0</v>
      </c>
      <c r="AQ1392" s="94" t="s">
        <v>148</v>
      </c>
      <c r="AV1392" s="93">
        <f>ROUND(AW1392+AX1392,2)</f>
        <v>0</v>
      </c>
      <c r="AW1392" s="93">
        <f>ROUND(G1392*AO1392,2)</f>
        <v>0</v>
      </c>
      <c r="AX1392" s="93">
        <f>ROUND(G1392*AP1392,2)</f>
        <v>0</v>
      </c>
      <c r="AY1392" s="94" t="s">
        <v>1525</v>
      </c>
      <c r="AZ1392" s="94" t="s">
        <v>1360</v>
      </c>
      <c r="BA1392" s="88" t="s">
        <v>67</v>
      </c>
      <c r="BC1392" s="93">
        <f>AW1392+AX1392</f>
        <v>0</v>
      </c>
      <c r="BD1392" s="93">
        <f>H1392/(100-BE1392)*100</f>
        <v>0</v>
      </c>
      <c r="BE1392" s="93">
        <v>0</v>
      </c>
      <c r="BF1392" s="93">
        <f>O1392</f>
        <v>6.5765519999999994E-2</v>
      </c>
      <c r="BH1392" s="93">
        <f>G1392*AO1392</f>
        <v>0</v>
      </c>
      <c r="BI1392" s="93">
        <f>G1392*AP1392</f>
        <v>0</v>
      </c>
      <c r="BJ1392" s="93">
        <f>G1392*H1392</f>
        <v>0</v>
      </c>
      <c r="BK1392" s="93"/>
      <c r="BL1392" s="93">
        <v>713</v>
      </c>
      <c r="BW1392" s="93">
        <f>I1392</f>
        <v>21</v>
      </c>
      <c r="BX1392" s="2" t="s">
        <v>1530</v>
      </c>
    </row>
    <row r="1393" spans="1:76" s="81" customFormat="1" x14ac:dyDescent="0.25">
      <c r="A1393" s="110"/>
      <c r="B1393" s="95"/>
      <c r="C1393" s="95"/>
      <c r="D1393" s="76" t="s">
        <v>1531</v>
      </c>
      <c r="E1393" s="76" t="s">
        <v>54</v>
      </c>
      <c r="F1393" s="95"/>
      <c r="G1393" s="96">
        <v>26.864999999999998</v>
      </c>
      <c r="H1393" s="97"/>
      <c r="I1393" s="95"/>
      <c r="J1393" s="95"/>
      <c r="K1393" s="95"/>
      <c r="L1393" s="95"/>
      <c r="M1393" s="95"/>
      <c r="N1393" s="95"/>
      <c r="O1393" s="95"/>
      <c r="P1393" s="95"/>
    </row>
    <row r="1394" spans="1:76" s="81" customFormat="1" x14ac:dyDescent="0.25">
      <c r="A1394" s="110"/>
      <c r="B1394" s="95"/>
      <c r="C1394" s="95"/>
      <c r="D1394" s="76" t="s">
        <v>1532</v>
      </c>
      <c r="E1394" s="76" t="s">
        <v>54</v>
      </c>
      <c r="F1394" s="95"/>
      <c r="G1394" s="96">
        <v>0.5373</v>
      </c>
      <c r="H1394" s="97"/>
      <c r="I1394" s="95"/>
      <c r="J1394" s="95"/>
      <c r="K1394" s="95"/>
      <c r="L1394" s="95"/>
      <c r="M1394" s="95"/>
      <c r="N1394" s="95"/>
      <c r="O1394" s="95"/>
      <c r="P1394" s="95"/>
    </row>
    <row r="1395" spans="1:76" s="81" customFormat="1" ht="25.5" x14ac:dyDescent="0.25">
      <c r="A1395" s="66" t="s">
        <v>1541</v>
      </c>
      <c r="B1395" s="72" t="s">
        <v>55</v>
      </c>
      <c r="C1395" s="72" t="s">
        <v>1534</v>
      </c>
      <c r="D1395" s="174" t="s">
        <v>1535</v>
      </c>
      <c r="E1395" s="174"/>
      <c r="F1395" s="72" t="s">
        <v>192</v>
      </c>
      <c r="G1395" s="90">
        <v>913.05200000000002</v>
      </c>
      <c r="H1395" s="91"/>
      <c r="I1395" s="103">
        <v>21</v>
      </c>
      <c r="J1395" s="90">
        <f>ROUND(G1395*AO1395,2)</f>
        <v>0</v>
      </c>
      <c r="K1395" s="90">
        <f>ROUND(G1395*AP1395,2)</f>
        <v>0</v>
      </c>
      <c r="L1395" s="90">
        <f>ROUND(G1395*H1395,2)</f>
        <v>0</v>
      </c>
      <c r="M1395" s="90">
        <f>L1395*(1+BW1395/100)</f>
        <v>0</v>
      </c>
      <c r="N1395" s="90">
        <v>1.0000000000000001E-5</v>
      </c>
      <c r="O1395" s="90">
        <f>G1395*N1395</f>
        <v>9.1305200000000013E-3</v>
      </c>
      <c r="P1395" s="92" t="s">
        <v>64</v>
      </c>
      <c r="Z1395" s="93">
        <f>ROUND(IF(AQ1395="5",BJ1395,0),2)</f>
        <v>0</v>
      </c>
      <c r="AB1395" s="93">
        <f>ROUND(IF(AQ1395="1",BH1395,0),2)</f>
        <v>0</v>
      </c>
      <c r="AC1395" s="93">
        <f>ROUND(IF(AQ1395="1",BI1395,0),2)</f>
        <v>0</v>
      </c>
      <c r="AD1395" s="93">
        <f>ROUND(IF(AQ1395="7",BH1395,0),2)</f>
        <v>0</v>
      </c>
      <c r="AE1395" s="93">
        <f>ROUND(IF(AQ1395="7",BI1395,0),2)</f>
        <v>0</v>
      </c>
      <c r="AF1395" s="93">
        <f>ROUND(IF(AQ1395="2",BH1395,0),2)</f>
        <v>0</v>
      </c>
      <c r="AG1395" s="93">
        <f>ROUND(IF(AQ1395="2",BI1395,0),2)</f>
        <v>0</v>
      </c>
      <c r="AH1395" s="93">
        <f>ROUND(IF(AQ1395="0",BJ1395,0),2)</f>
        <v>0</v>
      </c>
      <c r="AI1395" s="88" t="s">
        <v>55</v>
      </c>
      <c r="AJ1395" s="93">
        <f>IF(AN1395=0,L1395,0)</f>
        <v>0</v>
      </c>
      <c r="AK1395" s="93">
        <f>IF(AN1395=12,L1395,0)</f>
        <v>0</v>
      </c>
      <c r="AL1395" s="93">
        <f>IF(AN1395=21,L1395,0)</f>
        <v>0</v>
      </c>
      <c r="AN1395" s="93">
        <v>21</v>
      </c>
      <c r="AO1395" s="93">
        <f>H1395*0.211576798</f>
        <v>0</v>
      </c>
      <c r="AP1395" s="93">
        <f>H1395*(1-0.211576798)</f>
        <v>0</v>
      </c>
      <c r="AQ1395" s="94" t="s">
        <v>148</v>
      </c>
      <c r="AV1395" s="93">
        <f>ROUND(AW1395+AX1395,2)</f>
        <v>0</v>
      </c>
      <c r="AW1395" s="93">
        <f>ROUND(G1395*AO1395,2)</f>
        <v>0</v>
      </c>
      <c r="AX1395" s="93">
        <f>ROUND(G1395*AP1395,2)</f>
        <v>0</v>
      </c>
      <c r="AY1395" s="94" t="s">
        <v>1525</v>
      </c>
      <c r="AZ1395" s="94" t="s">
        <v>1360</v>
      </c>
      <c r="BA1395" s="88" t="s">
        <v>67</v>
      </c>
      <c r="BC1395" s="93">
        <f>AW1395+AX1395</f>
        <v>0</v>
      </c>
      <c r="BD1395" s="93">
        <f>H1395/(100-BE1395)*100</f>
        <v>0</v>
      </c>
      <c r="BE1395" s="93">
        <v>0</v>
      </c>
      <c r="BF1395" s="93">
        <f>O1395</f>
        <v>9.1305200000000013E-3</v>
      </c>
      <c r="BH1395" s="93">
        <f>G1395*AO1395</f>
        <v>0</v>
      </c>
      <c r="BI1395" s="93">
        <f>G1395*AP1395</f>
        <v>0</v>
      </c>
      <c r="BJ1395" s="93">
        <f>G1395*H1395</f>
        <v>0</v>
      </c>
      <c r="BK1395" s="93"/>
      <c r="BL1395" s="93">
        <v>713</v>
      </c>
      <c r="BW1395" s="93">
        <f>I1395</f>
        <v>21</v>
      </c>
      <c r="BX1395" s="2" t="s">
        <v>1535</v>
      </c>
    </row>
    <row r="1396" spans="1:76" s="81" customFormat="1" ht="13.5" customHeight="1" x14ac:dyDescent="0.25">
      <c r="A1396" s="110"/>
      <c r="B1396" s="95"/>
      <c r="C1396" s="95"/>
      <c r="D1396" s="179" t="s">
        <v>1536</v>
      </c>
      <c r="E1396" s="179"/>
      <c r="F1396" s="179"/>
      <c r="G1396" s="179"/>
      <c r="H1396" s="179"/>
      <c r="I1396" s="179"/>
      <c r="J1396" s="179"/>
      <c r="K1396" s="179"/>
      <c r="L1396" s="179"/>
      <c r="M1396" s="179"/>
      <c r="N1396" s="179"/>
      <c r="O1396" s="179"/>
      <c r="P1396" s="179"/>
    </row>
    <row r="1397" spans="1:76" s="81" customFormat="1" x14ac:dyDescent="0.25">
      <c r="A1397" s="110"/>
      <c r="B1397" s="95"/>
      <c r="C1397" s="95"/>
      <c r="D1397" s="76" t="s">
        <v>54</v>
      </c>
      <c r="E1397" s="76" t="s">
        <v>1102</v>
      </c>
      <c r="F1397" s="95"/>
      <c r="G1397" s="96">
        <v>0</v>
      </c>
      <c r="H1397" s="97"/>
      <c r="I1397" s="95"/>
      <c r="J1397" s="95"/>
      <c r="K1397" s="95"/>
      <c r="L1397" s="95"/>
      <c r="M1397" s="95"/>
      <c r="N1397" s="95"/>
      <c r="O1397" s="95"/>
      <c r="P1397" s="95"/>
    </row>
    <row r="1398" spans="1:76" s="81" customFormat="1" x14ac:dyDescent="0.25">
      <c r="A1398" s="110"/>
      <c r="B1398" s="95"/>
      <c r="C1398" s="95"/>
      <c r="D1398" s="76" t="s">
        <v>54</v>
      </c>
      <c r="E1398" s="76" t="s">
        <v>1103</v>
      </c>
      <c r="F1398" s="95"/>
      <c r="G1398" s="96">
        <v>0</v>
      </c>
      <c r="H1398" s="97"/>
      <c r="I1398" s="95"/>
      <c r="J1398" s="95"/>
      <c r="K1398" s="95"/>
      <c r="L1398" s="95"/>
      <c r="M1398" s="95"/>
      <c r="N1398" s="95"/>
      <c r="O1398" s="95"/>
      <c r="P1398" s="95"/>
    </row>
    <row r="1399" spans="1:76" s="81" customFormat="1" ht="25.5" x14ac:dyDescent="0.25">
      <c r="A1399" s="110"/>
      <c r="B1399" s="95"/>
      <c r="C1399" s="95"/>
      <c r="D1399" s="76" t="s">
        <v>4306</v>
      </c>
      <c r="E1399" s="76" t="s">
        <v>1104</v>
      </c>
      <c r="F1399" s="95"/>
      <c r="G1399" s="96">
        <v>242</v>
      </c>
      <c r="H1399" s="97"/>
      <c r="I1399" s="95"/>
      <c r="J1399" s="95"/>
      <c r="K1399" s="95"/>
      <c r="L1399" s="95"/>
      <c r="M1399" s="95"/>
      <c r="N1399" s="95"/>
      <c r="O1399" s="95"/>
      <c r="P1399" s="95"/>
    </row>
    <row r="1400" spans="1:76" s="81" customFormat="1" x14ac:dyDescent="0.25">
      <c r="A1400" s="110"/>
      <c r="B1400" s="95"/>
      <c r="C1400" s="95"/>
      <c r="D1400" s="76" t="s">
        <v>4311</v>
      </c>
      <c r="E1400" s="76" t="s">
        <v>54</v>
      </c>
      <c r="F1400" s="95"/>
      <c r="G1400" s="96">
        <v>1.44</v>
      </c>
      <c r="H1400" s="97"/>
      <c r="I1400" s="95"/>
      <c r="J1400" s="95"/>
      <c r="K1400" s="95"/>
      <c r="L1400" s="95"/>
      <c r="M1400" s="95"/>
      <c r="N1400" s="95"/>
      <c r="O1400" s="95"/>
      <c r="P1400" s="95"/>
    </row>
    <row r="1401" spans="1:76" s="81" customFormat="1" x14ac:dyDescent="0.25">
      <c r="A1401" s="110"/>
      <c r="B1401" s="95"/>
      <c r="C1401" s="95"/>
      <c r="D1401" s="76" t="s">
        <v>54</v>
      </c>
      <c r="E1401" s="76" t="s">
        <v>1105</v>
      </c>
      <c r="F1401" s="95"/>
      <c r="G1401" s="96">
        <v>0</v>
      </c>
      <c r="H1401" s="97"/>
      <c r="I1401" s="95"/>
      <c r="J1401" s="95"/>
      <c r="K1401" s="95"/>
      <c r="L1401" s="95"/>
      <c r="M1401" s="95"/>
      <c r="N1401" s="95"/>
      <c r="O1401" s="95"/>
      <c r="P1401" s="95"/>
    </row>
    <row r="1402" spans="1:76" s="81" customFormat="1" x14ac:dyDescent="0.25">
      <c r="A1402" s="110"/>
      <c r="B1402" s="95"/>
      <c r="C1402" s="95"/>
      <c r="D1402" s="76" t="s">
        <v>54</v>
      </c>
      <c r="E1402" s="76" t="s">
        <v>1106</v>
      </c>
      <c r="F1402" s="95"/>
      <c r="G1402" s="96">
        <v>0</v>
      </c>
      <c r="H1402" s="97"/>
      <c r="I1402" s="95"/>
      <c r="J1402" s="95"/>
      <c r="K1402" s="95"/>
      <c r="L1402" s="95"/>
      <c r="M1402" s="95"/>
      <c r="N1402" s="95"/>
      <c r="O1402" s="95"/>
      <c r="P1402" s="95"/>
    </row>
    <row r="1403" spans="1:76" s="81" customFormat="1" x14ac:dyDescent="0.25">
      <c r="A1403" s="110"/>
      <c r="B1403" s="95"/>
      <c r="C1403" s="95"/>
      <c r="D1403" s="76" t="s">
        <v>1114</v>
      </c>
      <c r="E1403" s="76" t="s">
        <v>1115</v>
      </c>
      <c r="F1403" s="95"/>
      <c r="G1403" s="96">
        <v>9.3119999999999994</v>
      </c>
      <c r="H1403" s="97"/>
      <c r="I1403" s="95"/>
      <c r="J1403" s="95"/>
      <c r="K1403" s="95"/>
      <c r="L1403" s="95"/>
      <c r="M1403" s="95"/>
      <c r="N1403" s="95"/>
      <c r="O1403" s="95"/>
      <c r="P1403" s="95"/>
    </row>
    <row r="1404" spans="1:76" s="81" customFormat="1" ht="25.5" x14ac:dyDescent="0.25">
      <c r="A1404" s="110"/>
      <c r="B1404" s="95"/>
      <c r="C1404" s="95"/>
      <c r="D1404" s="76" t="s">
        <v>1109</v>
      </c>
      <c r="E1404" s="76" t="s">
        <v>1110</v>
      </c>
      <c r="F1404" s="95"/>
      <c r="G1404" s="96">
        <v>330.5</v>
      </c>
      <c r="H1404" s="97"/>
      <c r="I1404" s="95"/>
      <c r="J1404" s="95"/>
      <c r="K1404" s="95"/>
      <c r="L1404" s="95"/>
      <c r="M1404" s="95"/>
      <c r="N1404" s="95"/>
      <c r="O1404" s="95"/>
      <c r="P1404" s="95"/>
    </row>
    <row r="1405" spans="1:76" s="81" customFormat="1" x14ac:dyDescent="0.25">
      <c r="A1405" s="110"/>
      <c r="B1405" s="95"/>
      <c r="C1405" s="95"/>
      <c r="D1405" s="76" t="s">
        <v>54</v>
      </c>
      <c r="E1405" s="76" t="s">
        <v>1116</v>
      </c>
      <c r="F1405" s="95"/>
      <c r="G1405" s="96">
        <v>0</v>
      </c>
      <c r="H1405" s="97"/>
      <c r="I1405" s="95"/>
      <c r="J1405" s="95"/>
      <c r="K1405" s="95"/>
      <c r="L1405" s="95"/>
      <c r="M1405" s="95"/>
      <c r="N1405" s="95"/>
      <c r="O1405" s="95"/>
      <c r="P1405" s="95"/>
    </row>
    <row r="1406" spans="1:76" s="81" customFormat="1" x14ac:dyDescent="0.25">
      <c r="A1406" s="110"/>
      <c r="B1406" s="95"/>
      <c r="C1406" s="95"/>
      <c r="D1406" s="76" t="s">
        <v>54</v>
      </c>
      <c r="E1406" s="76" t="s">
        <v>1103</v>
      </c>
      <c r="F1406" s="95"/>
      <c r="G1406" s="96">
        <v>0</v>
      </c>
      <c r="H1406" s="97"/>
      <c r="I1406" s="95"/>
      <c r="J1406" s="95"/>
      <c r="K1406" s="95"/>
      <c r="L1406" s="95"/>
      <c r="M1406" s="95"/>
      <c r="N1406" s="95"/>
      <c r="O1406" s="95"/>
      <c r="P1406" s="95"/>
    </row>
    <row r="1407" spans="1:76" s="81" customFormat="1" ht="25.5" x14ac:dyDescent="0.25">
      <c r="A1407" s="110"/>
      <c r="B1407" s="95"/>
      <c r="C1407" s="95"/>
      <c r="D1407" s="76" t="s">
        <v>1117</v>
      </c>
      <c r="E1407" s="76" t="s">
        <v>1118</v>
      </c>
      <c r="F1407" s="95"/>
      <c r="G1407" s="96">
        <v>118.3</v>
      </c>
      <c r="H1407" s="97"/>
      <c r="I1407" s="95"/>
      <c r="J1407" s="95"/>
      <c r="K1407" s="95"/>
      <c r="L1407" s="95"/>
      <c r="M1407" s="95"/>
      <c r="N1407" s="95"/>
      <c r="O1407" s="95"/>
      <c r="P1407" s="95"/>
    </row>
    <row r="1408" spans="1:76" s="81" customFormat="1" x14ac:dyDescent="0.25">
      <c r="A1408" s="110"/>
      <c r="B1408" s="95"/>
      <c r="C1408" s="95"/>
      <c r="D1408" s="76" t="s">
        <v>54</v>
      </c>
      <c r="E1408" s="76" t="s">
        <v>1119</v>
      </c>
      <c r="F1408" s="95"/>
      <c r="G1408" s="96">
        <v>0</v>
      </c>
      <c r="H1408" s="97"/>
      <c r="I1408" s="95"/>
      <c r="J1408" s="95"/>
      <c r="K1408" s="95"/>
      <c r="L1408" s="95"/>
      <c r="M1408" s="95"/>
      <c r="N1408" s="95"/>
      <c r="O1408" s="95"/>
      <c r="P1408" s="95"/>
    </row>
    <row r="1409" spans="1:76" s="81" customFormat="1" x14ac:dyDescent="0.25">
      <c r="A1409" s="110"/>
      <c r="B1409" s="95"/>
      <c r="C1409" s="95"/>
      <c r="D1409" s="76" t="s">
        <v>54</v>
      </c>
      <c r="E1409" s="76" t="s">
        <v>1106</v>
      </c>
      <c r="F1409" s="95"/>
      <c r="G1409" s="96">
        <v>0</v>
      </c>
      <c r="H1409" s="97"/>
      <c r="I1409" s="95"/>
      <c r="J1409" s="95"/>
      <c r="K1409" s="95"/>
      <c r="L1409" s="95"/>
      <c r="M1409" s="95"/>
      <c r="N1409" s="95"/>
      <c r="O1409" s="95"/>
      <c r="P1409" s="95"/>
    </row>
    <row r="1410" spans="1:76" s="81" customFormat="1" ht="25.5" x14ac:dyDescent="0.25">
      <c r="A1410" s="110"/>
      <c r="B1410" s="95"/>
      <c r="C1410" s="95"/>
      <c r="D1410" s="76" t="s">
        <v>1120</v>
      </c>
      <c r="E1410" s="76" t="s">
        <v>1121</v>
      </c>
      <c r="F1410" s="95"/>
      <c r="G1410" s="96">
        <v>44.3</v>
      </c>
      <c r="H1410" s="97"/>
      <c r="I1410" s="95"/>
      <c r="J1410" s="95"/>
      <c r="K1410" s="95"/>
      <c r="L1410" s="95"/>
      <c r="M1410" s="95"/>
      <c r="N1410" s="95"/>
      <c r="O1410" s="95"/>
      <c r="P1410" s="95"/>
    </row>
    <row r="1411" spans="1:76" s="81" customFormat="1" x14ac:dyDescent="0.25">
      <c r="A1411" s="110"/>
      <c r="B1411" s="95"/>
      <c r="C1411" s="95"/>
      <c r="D1411" s="76" t="s">
        <v>54</v>
      </c>
      <c r="E1411" s="76" t="s">
        <v>1174</v>
      </c>
      <c r="F1411" s="95"/>
      <c r="G1411" s="96">
        <v>0</v>
      </c>
      <c r="H1411" s="97"/>
      <c r="I1411" s="95"/>
      <c r="J1411" s="95"/>
      <c r="K1411" s="95"/>
      <c r="L1411" s="95"/>
      <c r="M1411" s="95"/>
      <c r="N1411" s="95"/>
      <c r="O1411" s="95"/>
      <c r="P1411" s="95"/>
    </row>
    <row r="1412" spans="1:76" s="81" customFormat="1" x14ac:dyDescent="0.25">
      <c r="A1412" s="110"/>
      <c r="B1412" s="95"/>
      <c r="C1412" s="95"/>
      <c r="D1412" s="76" t="s">
        <v>1537</v>
      </c>
      <c r="E1412" s="76" t="s">
        <v>1538</v>
      </c>
      <c r="F1412" s="95"/>
      <c r="G1412" s="96">
        <v>125</v>
      </c>
      <c r="H1412" s="97"/>
      <c r="I1412" s="95"/>
      <c r="J1412" s="95"/>
      <c r="K1412" s="95"/>
      <c r="L1412" s="95"/>
      <c r="M1412" s="95"/>
      <c r="N1412" s="95"/>
      <c r="O1412" s="95"/>
      <c r="P1412" s="95"/>
    </row>
    <row r="1413" spans="1:76" s="81" customFormat="1" x14ac:dyDescent="0.25">
      <c r="A1413" s="110"/>
      <c r="B1413" s="95"/>
      <c r="C1413" s="95"/>
      <c r="D1413" s="76" t="s">
        <v>54</v>
      </c>
      <c r="E1413" s="76" t="s">
        <v>1539</v>
      </c>
      <c r="F1413" s="95"/>
      <c r="G1413" s="96">
        <v>0</v>
      </c>
      <c r="H1413" s="97"/>
      <c r="I1413" s="95"/>
      <c r="J1413" s="95"/>
      <c r="K1413" s="95"/>
      <c r="L1413" s="95"/>
      <c r="M1413" s="95"/>
      <c r="N1413" s="95"/>
      <c r="O1413" s="95"/>
      <c r="P1413" s="95"/>
    </row>
    <row r="1414" spans="1:76" s="81" customFormat="1" x14ac:dyDescent="0.25">
      <c r="A1414" s="110"/>
      <c r="B1414" s="95"/>
      <c r="C1414" s="95"/>
      <c r="D1414" s="76" t="s">
        <v>1297</v>
      </c>
      <c r="E1414" s="76" t="s">
        <v>1540</v>
      </c>
      <c r="F1414" s="95"/>
      <c r="G1414" s="96">
        <v>42.2</v>
      </c>
      <c r="H1414" s="97"/>
      <c r="I1414" s="95"/>
      <c r="J1414" s="95"/>
      <c r="K1414" s="95"/>
      <c r="L1414" s="95"/>
      <c r="M1414" s="95"/>
      <c r="N1414" s="95"/>
      <c r="O1414" s="95"/>
      <c r="P1414" s="95"/>
    </row>
    <row r="1415" spans="1:76" s="81" customFormat="1" ht="25.5" x14ac:dyDescent="0.25">
      <c r="A1415" s="66" t="s">
        <v>1544</v>
      </c>
      <c r="B1415" s="72" t="s">
        <v>55</v>
      </c>
      <c r="C1415" s="72" t="s">
        <v>1542</v>
      </c>
      <c r="D1415" s="174" t="s">
        <v>1543</v>
      </c>
      <c r="E1415" s="174"/>
      <c r="F1415" s="72" t="s">
        <v>192</v>
      </c>
      <c r="G1415" s="90">
        <v>384.11200000000002</v>
      </c>
      <c r="H1415" s="91"/>
      <c r="I1415" s="103">
        <v>21</v>
      </c>
      <c r="J1415" s="90">
        <f>ROUND(G1415*AO1415,2)</f>
        <v>0</v>
      </c>
      <c r="K1415" s="90">
        <f>ROUND(G1415*AP1415,2)</f>
        <v>0</v>
      </c>
      <c r="L1415" s="90">
        <f>ROUND(G1415*H1415,2)</f>
        <v>0</v>
      </c>
      <c r="M1415" s="90">
        <f>L1415*(1+BW1415/100)</f>
        <v>0</v>
      </c>
      <c r="N1415" s="90">
        <v>0</v>
      </c>
      <c r="O1415" s="90">
        <f>G1415*N1415</f>
        <v>0</v>
      </c>
      <c r="P1415" s="92" t="s">
        <v>64</v>
      </c>
      <c r="Z1415" s="93">
        <f>ROUND(IF(AQ1415="5",BJ1415,0),2)</f>
        <v>0</v>
      </c>
      <c r="AB1415" s="93">
        <f>ROUND(IF(AQ1415="1",BH1415,0),2)</f>
        <v>0</v>
      </c>
      <c r="AC1415" s="93">
        <f>ROUND(IF(AQ1415="1",BI1415,0),2)</f>
        <v>0</v>
      </c>
      <c r="AD1415" s="93">
        <f>ROUND(IF(AQ1415="7",BH1415,0),2)</f>
        <v>0</v>
      </c>
      <c r="AE1415" s="93">
        <f>ROUND(IF(AQ1415="7",BI1415,0),2)</f>
        <v>0</v>
      </c>
      <c r="AF1415" s="93">
        <f>ROUND(IF(AQ1415="2",BH1415,0),2)</f>
        <v>0</v>
      </c>
      <c r="AG1415" s="93">
        <f>ROUND(IF(AQ1415="2",BI1415,0),2)</f>
        <v>0</v>
      </c>
      <c r="AH1415" s="93">
        <f>ROUND(IF(AQ1415="0",BJ1415,0),2)</f>
        <v>0</v>
      </c>
      <c r="AI1415" s="88" t="s">
        <v>55</v>
      </c>
      <c r="AJ1415" s="93">
        <f>IF(AN1415=0,L1415,0)</f>
        <v>0</v>
      </c>
      <c r="AK1415" s="93">
        <f>IF(AN1415=12,L1415,0)</f>
        <v>0</v>
      </c>
      <c r="AL1415" s="93">
        <f>IF(AN1415=21,L1415,0)</f>
        <v>0</v>
      </c>
      <c r="AN1415" s="93">
        <v>21</v>
      </c>
      <c r="AO1415" s="93">
        <f>H1415*0</f>
        <v>0</v>
      </c>
      <c r="AP1415" s="93">
        <f>H1415*(1-0)</f>
        <v>0</v>
      </c>
      <c r="AQ1415" s="94" t="s">
        <v>148</v>
      </c>
      <c r="AV1415" s="93">
        <f>ROUND(AW1415+AX1415,2)</f>
        <v>0</v>
      </c>
      <c r="AW1415" s="93">
        <f>ROUND(G1415*AO1415,2)</f>
        <v>0</v>
      </c>
      <c r="AX1415" s="93">
        <f>ROUND(G1415*AP1415,2)</f>
        <v>0</v>
      </c>
      <c r="AY1415" s="94" t="s">
        <v>1525</v>
      </c>
      <c r="AZ1415" s="94" t="s">
        <v>1360</v>
      </c>
      <c r="BA1415" s="88" t="s">
        <v>67</v>
      </c>
      <c r="BC1415" s="93">
        <f>AW1415+AX1415</f>
        <v>0</v>
      </c>
      <c r="BD1415" s="93">
        <f>H1415/(100-BE1415)*100</f>
        <v>0</v>
      </c>
      <c r="BE1415" s="93">
        <v>0</v>
      </c>
      <c r="BF1415" s="93">
        <f>O1415</f>
        <v>0</v>
      </c>
      <c r="BH1415" s="93">
        <f>G1415*AO1415</f>
        <v>0</v>
      </c>
      <c r="BI1415" s="93">
        <f>G1415*AP1415</f>
        <v>0</v>
      </c>
      <c r="BJ1415" s="93">
        <f>G1415*H1415</f>
        <v>0</v>
      </c>
      <c r="BK1415" s="93"/>
      <c r="BL1415" s="93">
        <v>713</v>
      </c>
      <c r="BW1415" s="93">
        <f>I1415</f>
        <v>21</v>
      </c>
      <c r="BX1415" s="2" t="s">
        <v>1543</v>
      </c>
    </row>
    <row r="1416" spans="1:76" s="81" customFormat="1" x14ac:dyDescent="0.25">
      <c r="A1416" s="110"/>
      <c r="B1416" s="95"/>
      <c r="C1416" s="95"/>
      <c r="D1416" s="76" t="s">
        <v>54</v>
      </c>
      <c r="E1416" s="76" t="s">
        <v>1105</v>
      </c>
      <c r="F1416" s="95"/>
      <c r="G1416" s="96">
        <v>0</v>
      </c>
      <c r="H1416" s="97"/>
      <c r="I1416" s="95"/>
      <c r="J1416" s="95"/>
      <c r="K1416" s="95"/>
      <c r="L1416" s="95"/>
      <c r="M1416" s="95"/>
      <c r="N1416" s="95"/>
      <c r="O1416" s="95"/>
      <c r="P1416" s="95"/>
    </row>
    <row r="1417" spans="1:76" s="81" customFormat="1" x14ac:dyDescent="0.25">
      <c r="A1417" s="110"/>
      <c r="B1417" s="95"/>
      <c r="C1417" s="95"/>
      <c r="D1417" s="76" t="s">
        <v>54</v>
      </c>
      <c r="E1417" s="76" t="s">
        <v>1106</v>
      </c>
      <c r="F1417" s="95"/>
      <c r="G1417" s="96">
        <v>0</v>
      </c>
      <c r="H1417" s="97"/>
      <c r="I1417" s="95"/>
      <c r="J1417" s="95"/>
      <c r="K1417" s="95"/>
      <c r="L1417" s="95"/>
      <c r="M1417" s="95"/>
      <c r="N1417" s="95"/>
      <c r="O1417" s="95"/>
      <c r="P1417" s="95"/>
    </row>
    <row r="1418" spans="1:76" s="81" customFormat="1" x14ac:dyDescent="0.25">
      <c r="A1418" s="110"/>
      <c r="B1418" s="95"/>
      <c r="C1418" s="95"/>
      <c r="D1418" s="76" t="s">
        <v>1114</v>
      </c>
      <c r="E1418" s="76" t="s">
        <v>1115</v>
      </c>
      <c r="F1418" s="95"/>
      <c r="G1418" s="96">
        <v>9.3119999999999994</v>
      </c>
      <c r="H1418" s="97"/>
      <c r="I1418" s="95"/>
      <c r="J1418" s="95"/>
      <c r="K1418" s="95"/>
      <c r="L1418" s="95"/>
      <c r="M1418" s="95"/>
      <c r="N1418" s="95"/>
      <c r="O1418" s="95"/>
      <c r="P1418" s="95"/>
    </row>
    <row r="1419" spans="1:76" s="81" customFormat="1" ht="25.5" x14ac:dyDescent="0.25">
      <c r="A1419" s="110"/>
      <c r="B1419" s="95"/>
      <c r="C1419" s="95"/>
      <c r="D1419" s="76" t="s">
        <v>1109</v>
      </c>
      <c r="E1419" s="76" t="s">
        <v>1110</v>
      </c>
      <c r="F1419" s="95"/>
      <c r="G1419" s="96">
        <v>330.5</v>
      </c>
      <c r="H1419" s="97"/>
      <c r="I1419" s="95"/>
      <c r="J1419" s="95"/>
      <c r="K1419" s="95"/>
      <c r="L1419" s="95"/>
      <c r="M1419" s="95"/>
      <c r="N1419" s="95"/>
      <c r="O1419" s="95"/>
      <c r="P1419" s="95"/>
    </row>
    <row r="1420" spans="1:76" s="81" customFormat="1" x14ac:dyDescent="0.25">
      <c r="A1420" s="110"/>
      <c r="B1420" s="95"/>
      <c r="C1420" s="95"/>
      <c r="D1420" s="76" t="s">
        <v>54</v>
      </c>
      <c r="E1420" s="76" t="s">
        <v>1119</v>
      </c>
      <c r="F1420" s="95"/>
      <c r="G1420" s="96">
        <v>0</v>
      </c>
      <c r="H1420" s="97"/>
      <c r="I1420" s="95"/>
      <c r="J1420" s="95"/>
      <c r="K1420" s="95"/>
      <c r="L1420" s="95"/>
      <c r="M1420" s="95"/>
      <c r="N1420" s="95"/>
      <c r="O1420" s="95"/>
      <c r="P1420" s="95"/>
    </row>
    <row r="1421" spans="1:76" s="81" customFormat="1" x14ac:dyDescent="0.25">
      <c r="A1421" s="110"/>
      <c r="B1421" s="95"/>
      <c r="C1421" s="95"/>
      <c r="D1421" s="76" t="s">
        <v>54</v>
      </c>
      <c r="E1421" s="76" t="s">
        <v>1106</v>
      </c>
      <c r="F1421" s="95"/>
      <c r="G1421" s="96">
        <v>0</v>
      </c>
      <c r="H1421" s="97"/>
      <c r="I1421" s="95"/>
      <c r="J1421" s="95"/>
      <c r="K1421" s="95"/>
      <c r="L1421" s="95"/>
      <c r="M1421" s="95"/>
      <c r="N1421" s="95"/>
      <c r="O1421" s="95"/>
      <c r="P1421" s="95"/>
    </row>
    <row r="1422" spans="1:76" s="81" customFormat="1" ht="25.5" x14ac:dyDescent="0.25">
      <c r="A1422" s="110"/>
      <c r="B1422" s="95"/>
      <c r="C1422" s="95"/>
      <c r="D1422" s="76" t="s">
        <v>1120</v>
      </c>
      <c r="E1422" s="76" t="s">
        <v>1121</v>
      </c>
      <c r="F1422" s="95"/>
      <c r="G1422" s="96">
        <v>44.3</v>
      </c>
      <c r="H1422" s="97"/>
      <c r="I1422" s="95"/>
      <c r="J1422" s="95"/>
      <c r="K1422" s="95"/>
      <c r="L1422" s="95"/>
      <c r="M1422" s="95"/>
      <c r="N1422" s="95"/>
      <c r="O1422" s="95"/>
      <c r="P1422" s="95"/>
    </row>
    <row r="1423" spans="1:76" s="81" customFormat="1" ht="25.5" x14ac:dyDescent="0.25">
      <c r="A1423" s="66" t="s">
        <v>1547</v>
      </c>
      <c r="B1423" s="72" t="s">
        <v>55</v>
      </c>
      <c r="C1423" s="72" t="s">
        <v>1545</v>
      </c>
      <c r="D1423" s="174" t="s">
        <v>1546</v>
      </c>
      <c r="E1423" s="174"/>
      <c r="F1423" s="72" t="s">
        <v>192</v>
      </c>
      <c r="G1423" s="90">
        <v>361.74</v>
      </c>
      <c r="H1423" s="91"/>
      <c r="I1423" s="103">
        <v>21</v>
      </c>
      <c r="J1423" s="90">
        <f>ROUND(G1423*AO1423,2)</f>
        <v>0</v>
      </c>
      <c r="K1423" s="90">
        <f>ROUND(G1423*AP1423,2)</f>
        <v>0</v>
      </c>
      <c r="L1423" s="90">
        <f>ROUND(G1423*H1423,2)</f>
        <v>0</v>
      </c>
      <c r="M1423" s="90">
        <f>L1423*(1+BW1423/100)</f>
        <v>0</v>
      </c>
      <c r="N1423" s="90">
        <v>0</v>
      </c>
      <c r="O1423" s="90">
        <f>G1423*N1423</f>
        <v>0</v>
      </c>
      <c r="P1423" s="92" t="s">
        <v>64</v>
      </c>
      <c r="Z1423" s="93">
        <f>ROUND(IF(AQ1423="5",BJ1423,0),2)</f>
        <v>0</v>
      </c>
      <c r="AB1423" s="93">
        <f>ROUND(IF(AQ1423="1",BH1423,0),2)</f>
        <v>0</v>
      </c>
      <c r="AC1423" s="93">
        <f>ROUND(IF(AQ1423="1",BI1423,0),2)</f>
        <v>0</v>
      </c>
      <c r="AD1423" s="93">
        <f>ROUND(IF(AQ1423="7",BH1423,0),2)</f>
        <v>0</v>
      </c>
      <c r="AE1423" s="93">
        <f>ROUND(IF(AQ1423="7",BI1423,0),2)</f>
        <v>0</v>
      </c>
      <c r="AF1423" s="93">
        <f>ROUND(IF(AQ1423="2",BH1423,0),2)</f>
        <v>0</v>
      </c>
      <c r="AG1423" s="93">
        <f>ROUND(IF(AQ1423="2",BI1423,0),2)</f>
        <v>0</v>
      </c>
      <c r="AH1423" s="93">
        <f>ROUND(IF(AQ1423="0",BJ1423,0),2)</f>
        <v>0</v>
      </c>
      <c r="AI1423" s="88" t="s">
        <v>55</v>
      </c>
      <c r="AJ1423" s="93">
        <f>IF(AN1423=0,L1423,0)</f>
        <v>0</v>
      </c>
      <c r="AK1423" s="93">
        <f>IF(AN1423=12,L1423,0)</f>
        <v>0</v>
      </c>
      <c r="AL1423" s="93">
        <f>IF(AN1423=21,L1423,0)</f>
        <v>0</v>
      </c>
      <c r="AN1423" s="93">
        <v>21</v>
      </c>
      <c r="AO1423" s="93">
        <f>H1423*0</f>
        <v>0</v>
      </c>
      <c r="AP1423" s="93">
        <f>H1423*(1-0)</f>
        <v>0</v>
      </c>
      <c r="AQ1423" s="94" t="s">
        <v>148</v>
      </c>
      <c r="AV1423" s="93">
        <f>ROUND(AW1423+AX1423,2)</f>
        <v>0</v>
      </c>
      <c r="AW1423" s="93">
        <f>ROUND(G1423*AO1423,2)</f>
        <v>0</v>
      </c>
      <c r="AX1423" s="93">
        <f>ROUND(G1423*AP1423,2)</f>
        <v>0</v>
      </c>
      <c r="AY1423" s="94" t="s">
        <v>1525</v>
      </c>
      <c r="AZ1423" s="94" t="s">
        <v>1360</v>
      </c>
      <c r="BA1423" s="88" t="s">
        <v>67</v>
      </c>
      <c r="BC1423" s="93">
        <f>AW1423+AX1423</f>
        <v>0</v>
      </c>
      <c r="BD1423" s="93">
        <f>H1423/(100-BE1423)*100</f>
        <v>0</v>
      </c>
      <c r="BE1423" s="93">
        <v>0</v>
      </c>
      <c r="BF1423" s="93">
        <f>O1423</f>
        <v>0</v>
      </c>
      <c r="BH1423" s="93">
        <f>G1423*AO1423</f>
        <v>0</v>
      </c>
      <c r="BI1423" s="93">
        <f>G1423*AP1423</f>
        <v>0</v>
      </c>
      <c r="BJ1423" s="93">
        <f>G1423*H1423</f>
        <v>0</v>
      </c>
      <c r="BK1423" s="93"/>
      <c r="BL1423" s="93">
        <v>713</v>
      </c>
      <c r="BW1423" s="93">
        <f>I1423</f>
        <v>21</v>
      </c>
      <c r="BX1423" s="2" t="s">
        <v>1546</v>
      </c>
    </row>
    <row r="1424" spans="1:76" s="81" customFormat="1" x14ac:dyDescent="0.25">
      <c r="A1424" s="110"/>
      <c r="B1424" s="95"/>
      <c r="C1424" s="95"/>
      <c r="D1424" s="76" t="s">
        <v>54</v>
      </c>
      <c r="E1424" s="76" t="s">
        <v>1102</v>
      </c>
      <c r="F1424" s="95"/>
      <c r="G1424" s="96">
        <v>0</v>
      </c>
      <c r="H1424" s="97"/>
      <c r="I1424" s="95"/>
      <c r="J1424" s="95"/>
      <c r="K1424" s="95"/>
      <c r="L1424" s="95"/>
      <c r="M1424" s="95"/>
      <c r="N1424" s="95"/>
      <c r="O1424" s="95"/>
      <c r="P1424" s="95"/>
    </row>
    <row r="1425" spans="1:76" s="81" customFormat="1" x14ac:dyDescent="0.25">
      <c r="A1425" s="110"/>
      <c r="B1425" s="95"/>
      <c r="C1425" s="95"/>
      <c r="D1425" s="76" t="s">
        <v>54</v>
      </c>
      <c r="E1425" s="76" t="s">
        <v>1103</v>
      </c>
      <c r="F1425" s="95"/>
      <c r="G1425" s="96">
        <v>0</v>
      </c>
      <c r="H1425" s="97"/>
      <c r="I1425" s="95"/>
      <c r="J1425" s="95"/>
      <c r="K1425" s="95"/>
      <c r="L1425" s="95"/>
      <c r="M1425" s="95"/>
      <c r="N1425" s="95"/>
      <c r="O1425" s="95"/>
      <c r="P1425" s="95"/>
    </row>
    <row r="1426" spans="1:76" s="81" customFormat="1" ht="25.5" x14ac:dyDescent="0.25">
      <c r="A1426" s="110"/>
      <c r="B1426" s="95"/>
      <c r="C1426" s="95"/>
      <c r="D1426" s="76" t="s">
        <v>4319</v>
      </c>
      <c r="E1426" s="76" t="s">
        <v>4320</v>
      </c>
      <c r="F1426" s="95"/>
      <c r="G1426" s="96">
        <v>243.44</v>
      </c>
      <c r="H1426" s="97"/>
      <c r="I1426" s="95"/>
      <c r="J1426" s="95"/>
      <c r="K1426" s="95"/>
      <c r="L1426" s="95"/>
      <c r="M1426" s="95"/>
      <c r="N1426" s="95"/>
      <c r="O1426" s="95"/>
      <c r="P1426" s="95"/>
    </row>
    <row r="1427" spans="1:76" s="81" customFormat="1" x14ac:dyDescent="0.25">
      <c r="A1427" s="110"/>
      <c r="B1427" s="95"/>
      <c r="C1427" s="95"/>
      <c r="D1427" s="76" t="s">
        <v>54</v>
      </c>
      <c r="E1427" s="76" t="s">
        <v>1116</v>
      </c>
      <c r="F1427" s="95"/>
      <c r="G1427" s="96">
        <v>0</v>
      </c>
      <c r="H1427" s="97"/>
      <c r="I1427" s="95"/>
      <c r="J1427" s="95"/>
      <c r="K1427" s="95"/>
      <c r="L1427" s="95"/>
      <c r="M1427" s="95"/>
      <c r="N1427" s="95"/>
      <c r="O1427" s="95"/>
      <c r="P1427" s="95"/>
    </row>
    <row r="1428" spans="1:76" s="81" customFormat="1" x14ac:dyDescent="0.25">
      <c r="A1428" s="110"/>
      <c r="B1428" s="95"/>
      <c r="C1428" s="95"/>
      <c r="D1428" s="76" t="s">
        <v>54</v>
      </c>
      <c r="E1428" s="76" t="s">
        <v>1103</v>
      </c>
      <c r="F1428" s="95"/>
      <c r="G1428" s="96">
        <v>0</v>
      </c>
      <c r="H1428" s="97"/>
      <c r="I1428" s="95"/>
      <c r="J1428" s="95"/>
      <c r="K1428" s="95"/>
      <c r="L1428" s="95"/>
      <c r="M1428" s="95"/>
      <c r="N1428" s="95"/>
      <c r="O1428" s="95"/>
      <c r="P1428" s="95"/>
    </row>
    <row r="1429" spans="1:76" s="81" customFormat="1" ht="25.5" x14ac:dyDescent="0.25">
      <c r="A1429" s="110"/>
      <c r="B1429" s="95"/>
      <c r="C1429" s="95"/>
      <c r="D1429" s="76" t="s">
        <v>1117</v>
      </c>
      <c r="E1429" s="76" t="s">
        <v>1118</v>
      </c>
      <c r="F1429" s="95"/>
      <c r="G1429" s="96">
        <v>118.3</v>
      </c>
      <c r="H1429" s="97"/>
      <c r="I1429" s="95"/>
      <c r="J1429" s="95"/>
      <c r="K1429" s="95"/>
      <c r="L1429" s="95"/>
      <c r="M1429" s="95"/>
      <c r="N1429" s="95"/>
      <c r="O1429" s="95"/>
      <c r="P1429" s="95"/>
    </row>
    <row r="1430" spans="1:76" s="81" customFormat="1" ht="25.5" x14ac:dyDescent="0.25">
      <c r="A1430" s="66" t="s">
        <v>1551</v>
      </c>
      <c r="B1430" s="72" t="s">
        <v>55</v>
      </c>
      <c r="C1430" s="72" t="s">
        <v>1548</v>
      </c>
      <c r="D1430" s="174" t="s">
        <v>1549</v>
      </c>
      <c r="E1430" s="174"/>
      <c r="F1430" s="72" t="s">
        <v>192</v>
      </c>
      <c r="G1430" s="90">
        <v>391.79424</v>
      </c>
      <c r="H1430" s="91"/>
      <c r="I1430" s="103">
        <v>21</v>
      </c>
      <c r="J1430" s="90">
        <f>ROUND(G1430*AO1430,2)</f>
        <v>0</v>
      </c>
      <c r="K1430" s="90">
        <f>ROUND(G1430*AP1430,2)</f>
        <v>0</v>
      </c>
      <c r="L1430" s="90">
        <f>ROUND(G1430*H1430,2)</f>
        <v>0</v>
      </c>
      <c r="M1430" s="90">
        <f>L1430*(1+BW1430/100)</f>
        <v>0</v>
      </c>
      <c r="N1430" s="90">
        <v>8.9999999999999993E-3</v>
      </c>
      <c r="O1430" s="90">
        <f>G1430*N1430</f>
        <v>3.5261481599999995</v>
      </c>
      <c r="P1430" s="92" t="s">
        <v>64</v>
      </c>
      <c r="Z1430" s="93">
        <f>ROUND(IF(AQ1430="5",BJ1430,0),2)</f>
        <v>0</v>
      </c>
      <c r="AB1430" s="93">
        <f>ROUND(IF(AQ1430="1",BH1430,0),2)</f>
        <v>0</v>
      </c>
      <c r="AC1430" s="93">
        <f>ROUND(IF(AQ1430="1",BI1430,0),2)</f>
        <v>0</v>
      </c>
      <c r="AD1430" s="93">
        <f>ROUND(IF(AQ1430="7",BH1430,0),2)</f>
        <v>0</v>
      </c>
      <c r="AE1430" s="93">
        <f>ROUND(IF(AQ1430="7",BI1430,0),2)</f>
        <v>0</v>
      </c>
      <c r="AF1430" s="93">
        <f>ROUND(IF(AQ1430="2",BH1430,0),2)</f>
        <v>0</v>
      </c>
      <c r="AG1430" s="93">
        <f>ROUND(IF(AQ1430="2",BI1430,0),2)</f>
        <v>0</v>
      </c>
      <c r="AH1430" s="93">
        <f>ROUND(IF(AQ1430="0",BJ1430,0),2)</f>
        <v>0</v>
      </c>
      <c r="AI1430" s="88" t="s">
        <v>55</v>
      </c>
      <c r="AJ1430" s="93">
        <f>IF(AN1430=0,L1430,0)</f>
        <v>0</v>
      </c>
      <c r="AK1430" s="93">
        <f>IF(AN1430=12,L1430,0)</f>
        <v>0</v>
      </c>
      <c r="AL1430" s="93">
        <f>IF(AN1430=21,L1430,0)</f>
        <v>0</v>
      </c>
      <c r="AN1430" s="93">
        <v>21</v>
      </c>
      <c r="AO1430" s="93">
        <f>H1430*1</f>
        <v>0</v>
      </c>
      <c r="AP1430" s="93">
        <f>H1430*(1-1)</f>
        <v>0</v>
      </c>
      <c r="AQ1430" s="94" t="s">
        <v>148</v>
      </c>
      <c r="AV1430" s="93">
        <f>ROUND(AW1430+AX1430,2)</f>
        <v>0</v>
      </c>
      <c r="AW1430" s="93">
        <f>ROUND(G1430*AO1430,2)</f>
        <v>0</v>
      </c>
      <c r="AX1430" s="93">
        <f>ROUND(G1430*AP1430,2)</f>
        <v>0</v>
      </c>
      <c r="AY1430" s="94" t="s">
        <v>1525</v>
      </c>
      <c r="AZ1430" s="94" t="s">
        <v>1360</v>
      </c>
      <c r="BA1430" s="88" t="s">
        <v>67</v>
      </c>
      <c r="BC1430" s="93">
        <f>AW1430+AX1430</f>
        <v>0</v>
      </c>
      <c r="BD1430" s="93">
        <f>H1430/(100-BE1430)*100</f>
        <v>0</v>
      </c>
      <c r="BE1430" s="93">
        <v>0</v>
      </c>
      <c r="BF1430" s="93">
        <f>O1430</f>
        <v>3.5261481599999995</v>
      </c>
      <c r="BH1430" s="93">
        <f>G1430*AO1430</f>
        <v>0</v>
      </c>
      <c r="BI1430" s="93">
        <f>G1430*AP1430</f>
        <v>0</v>
      </c>
      <c r="BJ1430" s="93">
        <f>G1430*H1430</f>
        <v>0</v>
      </c>
      <c r="BK1430" s="93"/>
      <c r="BL1430" s="93">
        <v>713</v>
      </c>
      <c r="BW1430" s="93">
        <f>I1430</f>
        <v>21</v>
      </c>
      <c r="BX1430" s="2" t="s">
        <v>1549</v>
      </c>
    </row>
    <row r="1431" spans="1:76" s="81" customFormat="1" x14ac:dyDescent="0.25">
      <c r="A1431" s="110"/>
      <c r="B1431" s="95"/>
      <c r="C1431" s="95"/>
      <c r="D1431" s="76" t="s">
        <v>54</v>
      </c>
      <c r="E1431" s="76" t="s">
        <v>1105</v>
      </c>
      <c r="F1431" s="95"/>
      <c r="G1431" s="96">
        <v>0</v>
      </c>
      <c r="H1431" s="97"/>
      <c r="I1431" s="95"/>
      <c r="J1431" s="95"/>
      <c r="K1431" s="95"/>
      <c r="L1431" s="95"/>
      <c r="M1431" s="95"/>
      <c r="N1431" s="95"/>
      <c r="O1431" s="95"/>
      <c r="P1431" s="95"/>
    </row>
    <row r="1432" spans="1:76" s="81" customFormat="1" x14ac:dyDescent="0.25">
      <c r="A1432" s="110"/>
      <c r="B1432" s="95"/>
      <c r="C1432" s="95"/>
      <c r="D1432" s="76" t="s">
        <v>54</v>
      </c>
      <c r="E1432" s="76" t="s">
        <v>1106</v>
      </c>
      <c r="F1432" s="95"/>
      <c r="G1432" s="96">
        <v>0</v>
      </c>
      <c r="H1432" s="97"/>
      <c r="I1432" s="95"/>
      <c r="J1432" s="95"/>
      <c r="K1432" s="95"/>
      <c r="L1432" s="95"/>
      <c r="M1432" s="95"/>
      <c r="N1432" s="95"/>
      <c r="O1432" s="95"/>
      <c r="P1432" s="95"/>
    </row>
    <row r="1433" spans="1:76" s="81" customFormat="1" x14ac:dyDescent="0.25">
      <c r="A1433" s="110"/>
      <c r="B1433" s="95"/>
      <c r="C1433" s="95"/>
      <c r="D1433" s="76" t="s">
        <v>1114</v>
      </c>
      <c r="E1433" s="76" t="s">
        <v>1115</v>
      </c>
      <c r="F1433" s="95"/>
      <c r="G1433" s="96">
        <v>9.3119999999999994</v>
      </c>
      <c r="H1433" s="97"/>
      <c r="I1433" s="95"/>
      <c r="J1433" s="95"/>
      <c r="K1433" s="95"/>
      <c r="L1433" s="95"/>
      <c r="M1433" s="95"/>
      <c r="N1433" s="95"/>
      <c r="O1433" s="95"/>
      <c r="P1433" s="95"/>
    </row>
    <row r="1434" spans="1:76" s="81" customFormat="1" ht="25.5" x14ac:dyDescent="0.25">
      <c r="A1434" s="110"/>
      <c r="B1434" s="95"/>
      <c r="C1434" s="95"/>
      <c r="D1434" s="76" t="s">
        <v>1109</v>
      </c>
      <c r="E1434" s="76" t="s">
        <v>1110</v>
      </c>
      <c r="F1434" s="95"/>
      <c r="G1434" s="96">
        <v>330.5</v>
      </c>
      <c r="H1434" s="97"/>
      <c r="I1434" s="95"/>
      <c r="J1434" s="95"/>
      <c r="K1434" s="95"/>
      <c r="L1434" s="95"/>
      <c r="M1434" s="95"/>
      <c r="N1434" s="95"/>
      <c r="O1434" s="95"/>
      <c r="P1434" s="95"/>
    </row>
    <row r="1435" spans="1:76" s="81" customFormat="1" x14ac:dyDescent="0.25">
      <c r="A1435" s="110"/>
      <c r="B1435" s="95"/>
      <c r="C1435" s="95"/>
      <c r="D1435" s="76" t="s">
        <v>54</v>
      </c>
      <c r="E1435" s="76" t="s">
        <v>1119</v>
      </c>
      <c r="F1435" s="95"/>
      <c r="G1435" s="96">
        <v>0</v>
      </c>
      <c r="H1435" s="97"/>
      <c r="I1435" s="95"/>
      <c r="J1435" s="95"/>
      <c r="K1435" s="95"/>
      <c r="L1435" s="95"/>
      <c r="M1435" s="95"/>
      <c r="N1435" s="95"/>
      <c r="O1435" s="95"/>
      <c r="P1435" s="95"/>
    </row>
    <row r="1436" spans="1:76" s="81" customFormat="1" x14ac:dyDescent="0.25">
      <c r="A1436" s="110"/>
      <c r="B1436" s="95"/>
      <c r="C1436" s="95"/>
      <c r="D1436" s="76" t="s">
        <v>54</v>
      </c>
      <c r="E1436" s="76" t="s">
        <v>1106</v>
      </c>
      <c r="F1436" s="95"/>
      <c r="G1436" s="96">
        <v>0</v>
      </c>
      <c r="H1436" s="97"/>
      <c r="I1436" s="95"/>
      <c r="J1436" s="95"/>
      <c r="K1436" s="95"/>
      <c r="L1436" s="95"/>
      <c r="M1436" s="95"/>
      <c r="N1436" s="95"/>
      <c r="O1436" s="95"/>
      <c r="P1436" s="95"/>
    </row>
    <row r="1437" spans="1:76" s="81" customFormat="1" x14ac:dyDescent="0.25">
      <c r="A1437" s="110"/>
      <c r="B1437" s="95"/>
      <c r="C1437" s="95"/>
      <c r="D1437" s="76" t="s">
        <v>1550</v>
      </c>
      <c r="E1437" s="76" t="s">
        <v>54</v>
      </c>
      <c r="F1437" s="95"/>
      <c r="G1437" s="96">
        <v>7.6822400000000002</v>
      </c>
      <c r="H1437" s="97"/>
      <c r="I1437" s="95"/>
      <c r="J1437" s="95"/>
      <c r="K1437" s="95"/>
      <c r="L1437" s="95"/>
      <c r="M1437" s="95"/>
      <c r="N1437" s="95"/>
      <c r="O1437" s="95"/>
      <c r="P1437" s="95"/>
    </row>
    <row r="1438" spans="1:76" s="81" customFormat="1" ht="25.5" x14ac:dyDescent="0.25">
      <c r="A1438" s="110"/>
      <c r="B1438" s="95"/>
      <c r="C1438" s="95"/>
      <c r="D1438" s="76" t="s">
        <v>1120</v>
      </c>
      <c r="E1438" s="76" t="s">
        <v>1121</v>
      </c>
      <c r="F1438" s="95"/>
      <c r="G1438" s="96">
        <v>44.3</v>
      </c>
      <c r="H1438" s="97"/>
      <c r="I1438" s="95"/>
      <c r="J1438" s="95"/>
      <c r="K1438" s="95"/>
      <c r="L1438" s="95"/>
      <c r="M1438" s="95"/>
      <c r="N1438" s="95"/>
      <c r="O1438" s="95"/>
      <c r="P1438" s="95"/>
    </row>
    <row r="1439" spans="1:76" s="81" customFormat="1" ht="25.5" x14ac:dyDescent="0.25">
      <c r="A1439" s="66" t="s">
        <v>1556</v>
      </c>
      <c r="B1439" s="72" t="s">
        <v>55</v>
      </c>
      <c r="C1439" s="72" t="s">
        <v>1552</v>
      </c>
      <c r="D1439" s="174" t="s">
        <v>1553</v>
      </c>
      <c r="E1439" s="174"/>
      <c r="F1439" s="72" t="s">
        <v>192</v>
      </c>
      <c r="G1439" s="90">
        <v>737.94960000000003</v>
      </c>
      <c r="H1439" s="91"/>
      <c r="I1439" s="103">
        <v>21</v>
      </c>
      <c r="J1439" s="90">
        <f>ROUND(G1439*AO1439,2)</f>
        <v>0</v>
      </c>
      <c r="K1439" s="90">
        <f>ROUND(G1439*AP1439,2)</f>
        <v>0</v>
      </c>
      <c r="L1439" s="90">
        <f>ROUND(G1439*H1439,2)</f>
        <v>0</v>
      </c>
      <c r="M1439" s="90">
        <f>L1439*(1+BW1439/100)</f>
        <v>0</v>
      </c>
      <c r="N1439" s="90">
        <v>1.4E-2</v>
      </c>
      <c r="O1439" s="90">
        <f>G1439*N1439</f>
        <v>10.331294400000001</v>
      </c>
      <c r="P1439" s="92" t="s">
        <v>64</v>
      </c>
      <c r="Z1439" s="93">
        <f>ROUND(IF(AQ1439="5",BJ1439,0),2)</f>
        <v>0</v>
      </c>
      <c r="AB1439" s="93">
        <f>ROUND(IF(AQ1439="1",BH1439,0),2)</f>
        <v>0</v>
      </c>
      <c r="AC1439" s="93">
        <f>ROUND(IF(AQ1439="1",BI1439,0),2)</f>
        <v>0</v>
      </c>
      <c r="AD1439" s="93">
        <f>ROUND(IF(AQ1439="7",BH1439,0),2)</f>
        <v>0</v>
      </c>
      <c r="AE1439" s="93">
        <f>ROUND(IF(AQ1439="7",BI1439,0),2)</f>
        <v>0</v>
      </c>
      <c r="AF1439" s="93">
        <f>ROUND(IF(AQ1439="2",BH1439,0),2)</f>
        <v>0</v>
      </c>
      <c r="AG1439" s="93">
        <f>ROUND(IF(AQ1439="2",BI1439,0),2)</f>
        <v>0</v>
      </c>
      <c r="AH1439" s="93">
        <f>ROUND(IF(AQ1439="0",BJ1439,0),2)</f>
        <v>0</v>
      </c>
      <c r="AI1439" s="88" t="s">
        <v>55</v>
      </c>
      <c r="AJ1439" s="93">
        <f>IF(AN1439=0,L1439,0)</f>
        <v>0</v>
      </c>
      <c r="AK1439" s="93">
        <f>IF(AN1439=12,L1439,0)</f>
        <v>0</v>
      </c>
      <c r="AL1439" s="93">
        <f>IF(AN1439=21,L1439,0)</f>
        <v>0</v>
      </c>
      <c r="AN1439" s="93">
        <v>21</v>
      </c>
      <c r="AO1439" s="93">
        <f>H1439*1</f>
        <v>0</v>
      </c>
      <c r="AP1439" s="93">
        <f>H1439*(1-1)</f>
        <v>0</v>
      </c>
      <c r="AQ1439" s="94" t="s">
        <v>148</v>
      </c>
      <c r="AV1439" s="93">
        <f>ROUND(AW1439+AX1439,2)</f>
        <v>0</v>
      </c>
      <c r="AW1439" s="93">
        <f>ROUND(G1439*AO1439,2)</f>
        <v>0</v>
      </c>
      <c r="AX1439" s="93">
        <f>ROUND(G1439*AP1439,2)</f>
        <v>0</v>
      </c>
      <c r="AY1439" s="94" t="s">
        <v>1525</v>
      </c>
      <c r="AZ1439" s="94" t="s">
        <v>1360</v>
      </c>
      <c r="BA1439" s="88" t="s">
        <v>67</v>
      </c>
      <c r="BC1439" s="93">
        <f>AW1439+AX1439</f>
        <v>0</v>
      </c>
      <c r="BD1439" s="93">
        <f>H1439/(100-BE1439)*100</f>
        <v>0</v>
      </c>
      <c r="BE1439" s="93">
        <v>0</v>
      </c>
      <c r="BF1439" s="93">
        <f>O1439</f>
        <v>10.331294400000001</v>
      </c>
      <c r="BH1439" s="93">
        <f>G1439*AO1439</f>
        <v>0</v>
      </c>
      <c r="BI1439" s="93">
        <f>G1439*AP1439</f>
        <v>0</v>
      </c>
      <c r="BJ1439" s="93">
        <f>G1439*H1439</f>
        <v>0</v>
      </c>
      <c r="BK1439" s="93"/>
      <c r="BL1439" s="93">
        <v>713</v>
      </c>
      <c r="BW1439" s="93">
        <f>I1439</f>
        <v>21</v>
      </c>
      <c r="BX1439" s="2" t="s">
        <v>1553</v>
      </c>
    </row>
    <row r="1440" spans="1:76" s="81" customFormat="1" ht="25.5" x14ac:dyDescent="0.25">
      <c r="A1440" s="110"/>
      <c r="B1440" s="95"/>
      <c r="C1440" s="95"/>
      <c r="D1440" s="76" t="s">
        <v>54</v>
      </c>
      <c r="E1440" s="76" t="s">
        <v>1554</v>
      </c>
      <c r="F1440" s="95"/>
      <c r="G1440" s="96">
        <v>0</v>
      </c>
      <c r="H1440" s="97"/>
      <c r="I1440" s="95"/>
      <c r="J1440" s="95"/>
      <c r="K1440" s="95"/>
      <c r="L1440" s="95"/>
      <c r="M1440" s="95"/>
      <c r="N1440" s="95"/>
      <c r="O1440" s="95"/>
      <c r="P1440" s="95"/>
    </row>
    <row r="1441" spans="1:76" s="81" customFormat="1" x14ac:dyDescent="0.25">
      <c r="A1441" s="110"/>
      <c r="B1441" s="95"/>
      <c r="C1441" s="95"/>
      <c r="D1441" s="76" t="s">
        <v>54</v>
      </c>
      <c r="E1441" s="76" t="s">
        <v>1103</v>
      </c>
      <c r="F1441" s="95"/>
      <c r="G1441" s="96">
        <v>0</v>
      </c>
      <c r="H1441" s="97"/>
      <c r="I1441" s="95"/>
      <c r="J1441" s="95"/>
      <c r="K1441" s="95"/>
      <c r="L1441" s="95"/>
      <c r="M1441" s="95"/>
      <c r="N1441" s="95"/>
      <c r="O1441" s="95"/>
      <c r="P1441" s="95"/>
    </row>
    <row r="1442" spans="1:76" s="81" customFormat="1" ht="25.5" x14ac:dyDescent="0.25">
      <c r="A1442" s="110"/>
      <c r="B1442" s="95"/>
      <c r="C1442" s="95"/>
      <c r="D1442" s="76" t="s">
        <v>4321</v>
      </c>
      <c r="E1442" s="76" t="s">
        <v>4322</v>
      </c>
      <c r="F1442" s="95"/>
      <c r="G1442" s="96">
        <v>486.88</v>
      </c>
      <c r="H1442" s="97"/>
      <c r="I1442" s="95"/>
      <c r="J1442" s="95"/>
      <c r="K1442" s="95"/>
      <c r="L1442" s="95"/>
      <c r="M1442" s="95"/>
      <c r="N1442" s="95"/>
      <c r="O1442" s="95"/>
      <c r="P1442" s="95"/>
    </row>
    <row r="1443" spans="1:76" s="81" customFormat="1" x14ac:dyDescent="0.25">
      <c r="A1443" s="110"/>
      <c r="B1443" s="95"/>
      <c r="C1443" s="95"/>
      <c r="D1443" s="76" t="s">
        <v>54</v>
      </c>
      <c r="E1443" s="76" t="s">
        <v>1116</v>
      </c>
      <c r="F1443" s="95"/>
      <c r="G1443" s="96">
        <v>0</v>
      </c>
      <c r="H1443" s="97"/>
      <c r="I1443" s="95"/>
      <c r="J1443" s="95"/>
      <c r="K1443" s="95"/>
      <c r="L1443" s="95"/>
      <c r="M1443" s="95"/>
      <c r="N1443" s="95"/>
      <c r="O1443" s="95"/>
      <c r="P1443" s="95"/>
    </row>
    <row r="1444" spans="1:76" s="81" customFormat="1" x14ac:dyDescent="0.25">
      <c r="A1444" s="110"/>
      <c r="B1444" s="95"/>
      <c r="C1444" s="95"/>
      <c r="D1444" s="76" t="s">
        <v>54</v>
      </c>
      <c r="E1444" s="76" t="s">
        <v>1103</v>
      </c>
      <c r="F1444" s="95"/>
      <c r="G1444" s="96">
        <v>0</v>
      </c>
      <c r="H1444" s="97"/>
      <c r="I1444" s="95"/>
      <c r="J1444" s="95"/>
      <c r="K1444" s="95"/>
      <c r="L1444" s="95"/>
      <c r="M1444" s="95"/>
      <c r="N1444" s="95"/>
      <c r="O1444" s="95"/>
      <c r="P1444" s="95"/>
    </row>
    <row r="1445" spans="1:76" s="81" customFormat="1" ht="25.5" x14ac:dyDescent="0.25">
      <c r="A1445" s="110"/>
      <c r="B1445" s="95"/>
      <c r="C1445" s="95"/>
      <c r="D1445" s="76" t="s">
        <v>1555</v>
      </c>
      <c r="E1445" s="76" t="s">
        <v>1118</v>
      </c>
      <c r="F1445" s="95"/>
      <c r="G1445" s="96">
        <v>236.6</v>
      </c>
      <c r="H1445" s="97"/>
      <c r="I1445" s="95"/>
      <c r="J1445" s="95"/>
      <c r="K1445" s="95"/>
      <c r="L1445" s="95"/>
      <c r="M1445" s="95"/>
      <c r="N1445" s="95"/>
      <c r="O1445" s="95"/>
      <c r="P1445" s="95"/>
    </row>
    <row r="1446" spans="1:76" s="81" customFormat="1" x14ac:dyDescent="0.25">
      <c r="A1446" s="110"/>
      <c r="B1446" s="95"/>
      <c r="C1446" s="95"/>
      <c r="D1446" s="76" t="s">
        <v>4323</v>
      </c>
      <c r="E1446" s="76" t="s">
        <v>54</v>
      </c>
      <c r="F1446" s="95"/>
      <c r="G1446" s="96">
        <v>14.4696</v>
      </c>
      <c r="H1446" s="97"/>
      <c r="I1446" s="95"/>
      <c r="J1446" s="95"/>
      <c r="K1446" s="95"/>
      <c r="L1446" s="95"/>
      <c r="M1446" s="95"/>
      <c r="N1446" s="95"/>
      <c r="O1446" s="95"/>
      <c r="P1446" s="95"/>
    </row>
    <row r="1447" spans="1:76" s="81" customFormat="1" ht="25.5" x14ac:dyDescent="0.25">
      <c r="A1447" s="66" t="s">
        <v>1558</v>
      </c>
      <c r="B1447" s="72" t="s">
        <v>55</v>
      </c>
      <c r="C1447" s="72" t="s">
        <v>1542</v>
      </c>
      <c r="D1447" s="174" t="s">
        <v>1543</v>
      </c>
      <c r="E1447" s="174"/>
      <c r="F1447" s="72" t="s">
        <v>192</v>
      </c>
      <c r="G1447" s="90">
        <v>167.2</v>
      </c>
      <c r="H1447" s="91"/>
      <c r="I1447" s="103">
        <v>21</v>
      </c>
      <c r="J1447" s="90">
        <f>ROUND(G1447*AO1447,2)</f>
        <v>0</v>
      </c>
      <c r="K1447" s="90">
        <f>ROUND(G1447*AP1447,2)</f>
        <v>0</v>
      </c>
      <c r="L1447" s="90">
        <f>ROUND(G1447*H1447,2)</f>
        <v>0</v>
      </c>
      <c r="M1447" s="90">
        <f>L1447*(1+BW1447/100)</f>
        <v>0</v>
      </c>
      <c r="N1447" s="90">
        <v>0</v>
      </c>
      <c r="O1447" s="90">
        <f>G1447*N1447</f>
        <v>0</v>
      </c>
      <c r="P1447" s="92" t="s">
        <v>64</v>
      </c>
      <c r="Z1447" s="93">
        <f>ROUND(IF(AQ1447="5",BJ1447,0),2)</f>
        <v>0</v>
      </c>
      <c r="AB1447" s="93">
        <f>ROUND(IF(AQ1447="1",BH1447,0),2)</f>
        <v>0</v>
      </c>
      <c r="AC1447" s="93">
        <f>ROUND(IF(AQ1447="1",BI1447,0),2)</f>
        <v>0</v>
      </c>
      <c r="AD1447" s="93">
        <f>ROUND(IF(AQ1447="7",BH1447,0),2)</f>
        <v>0</v>
      </c>
      <c r="AE1447" s="93">
        <f>ROUND(IF(AQ1447="7",BI1447,0),2)</f>
        <v>0</v>
      </c>
      <c r="AF1447" s="93">
        <f>ROUND(IF(AQ1447="2",BH1447,0),2)</f>
        <v>0</v>
      </c>
      <c r="AG1447" s="93">
        <f>ROUND(IF(AQ1447="2",BI1447,0),2)</f>
        <v>0</v>
      </c>
      <c r="AH1447" s="93">
        <f>ROUND(IF(AQ1447="0",BJ1447,0),2)</f>
        <v>0</v>
      </c>
      <c r="AI1447" s="88" t="s">
        <v>55</v>
      </c>
      <c r="AJ1447" s="93">
        <f>IF(AN1447=0,L1447,0)</f>
        <v>0</v>
      </c>
      <c r="AK1447" s="93">
        <f>IF(AN1447=12,L1447,0)</f>
        <v>0</v>
      </c>
      <c r="AL1447" s="93">
        <f>IF(AN1447=21,L1447,0)</f>
        <v>0</v>
      </c>
      <c r="AN1447" s="93">
        <v>21</v>
      </c>
      <c r="AO1447" s="93">
        <f>H1447*0</f>
        <v>0</v>
      </c>
      <c r="AP1447" s="93">
        <f>H1447*(1-0)</f>
        <v>0</v>
      </c>
      <c r="AQ1447" s="94" t="s">
        <v>148</v>
      </c>
      <c r="AV1447" s="93">
        <f>ROUND(AW1447+AX1447,2)</f>
        <v>0</v>
      </c>
      <c r="AW1447" s="93">
        <f>ROUND(G1447*AO1447,2)</f>
        <v>0</v>
      </c>
      <c r="AX1447" s="93">
        <f>ROUND(G1447*AP1447,2)</f>
        <v>0</v>
      </c>
      <c r="AY1447" s="94" t="s">
        <v>1525</v>
      </c>
      <c r="AZ1447" s="94" t="s">
        <v>1360</v>
      </c>
      <c r="BA1447" s="88" t="s">
        <v>67</v>
      </c>
      <c r="BC1447" s="93">
        <f>AW1447+AX1447</f>
        <v>0</v>
      </c>
      <c r="BD1447" s="93">
        <f>H1447/(100-BE1447)*100</f>
        <v>0</v>
      </c>
      <c r="BE1447" s="93">
        <v>0</v>
      </c>
      <c r="BF1447" s="93">
        <f>O1447</f>
        <v>0</v>
      </c>
      <c r="BH1447" s="93">
        <f>G1447*AO1447</f>
        <v>0</v>
      </c>
      <c r="BI1447" s="93">
        <f>G1447*AP1447</f>
        <v>0</v>
      </c>
      <c r="BJ1447" s="93">
        <f>G1447*H1447</f>
        <v>0</v>
      </c>
      <c r="BK1447" s="93"/>
      <c r="BL1447" s="93">
        <v>713</v>
      </c>
      <c r="BW1447" s="93">
        <f>I1447</f>
        <v>21</v>
      </c>
      <c r="BX1447" s="2" t="s">
        <v>1543</v>
      </c>
    </row>
    <row r="1448" spans="1:76" s="81" customFormat="1" x14ac:dyDescent="0.25">
      <c r="A1448" s="110"/>
      <c r="B1448" s="95"/>
      <c r="C1448" s="95"/>
      <c r="D1448" s="76" t="s">
        <v>54</v>
      </c>
      <c r="E1448" s="76" t="s">
        <v>1174</v>
      </c>
      <c r="F1448" s="95"/>
      <c r="G1448" s="96">
        <v>0</v>
      </c>
      <c r="H1448" s="97"/>
      <c r="I1448" s="95"/>
      <c r="J1448" s="95"/>
      <c r="K1448" s="95"/>
      <c r="L1448" s="95"/>
      <c r="M1448" s="95"/>
      <c r="N1448" s="95"/>
      <c r="O1448" s="95"/>
      <c r="P1448" s="95"/>
    </row>
    <row r="1449" spans="1:76" s="81" customFormat="1" x14ac:dyDescent="0.25">
      <c r="A1449" s="110"/>
      <c r="B1449" s="95"/>
      <c r="C1449" s="95"/>
      <c r="D1449" s="76" t="s">
        <v>1537</v>
      </c>
      <c r="E1449" s="76" t="s">
        <v>1557</v>
      </c>
      <c r="F1449" s="95"/>
      <c r="G1449" s="96">
        <v>125</v>
      </c>
      <c r="H1449" s="97"/>
      <c r="I1449" s="95"/>
      <c r="J1449" s="95"/>
      <c r="K1449" s="95"/>
      <c r="L1449" s="95"/>
      <c r="M1449" s="95"/>
      <c r="N1449" s="95"/>
      <c r="O1449" s="95"/>
      <c r="P1449" s="95"/>
    </row>
    <row r="1450" spans="1:76" s="81" customFormat="1" x14ac:dyDescent="0.25">
      <c r="A1450" s="110"/>
      <c r="B1450" s="95"/>
      <c r="C1450" s="95"/>
      <c r="D1450" s="76" t="s">
        <v>54</v>
      </c>
      <c r="E1450" s="76" t="s">
        <v>1539</v>
      </c>
      <c r="F1450" s="95"/>
      <c r="G1450" s="96">
        <v>0</v>
      </c>
      <c r="H1450" s="97"/>
      <c r="I1450" s="95"/>
      <c r="J1450" s="95"/>
      <c r="K1450" s="95"/>
      <c r="L1450" s="95"/>
      <c r="M1450" s="95"/>
      <c r="N1450" s="95"/>
      <c r="O1450" s="95"/>
      <c r="P1450" s="95"/>
    </row>
    <row r="1451" spans="1:76" s="81" customFormat="1" x14ac:dyDescent="0.25">
      <c r="A1451" s="110"/>
      <c r="B1451" s="95"/>
      <c r="C1451" s="95"/>
      <c r="D1451" s="76" t="s">
        <v>1297</v>
      </c>
      <c r="E1451" s="76" t="s">
        <v>1540</v>
      </c>
      <c r="F1451" s="95"/>
      <c r="G1451" s="96">
        <v>42.2</v>
      </c>
      <c r="H1451" s="97"/>
      <c r="I1451" s="95"/>
      <c r="J1451" s="95"/>
      <c r="K1451" s="95"/>
      <c r="L1451" s="95"/>
      <c r="M1451" s="95"/>
      <c r="N1451" s="95"/>
      <c r="O1451" s="95"/>
      <c r="P1451" s="95"/>
    </row>
    <row r="1452" spans="1:76" s="81" customFormat="1" ht="25.5" x14ac:dyDescent="0.25">
      <c r="A1452" s="66" t="s">
        <v>1562</v>
      </c>
      <c r="B1452" s="72" t="s">
        <v>55</v>
      </c>
      <c r="C1452" s="72" t="s">
        <v>1559</v>
      </c>
      <c r="D1452" s="174" t="s">
        <v>1560</v>
      </c>
      <c r="E1452" s="174"/>
      <c r="F1452" s="72" t="s">
        <v>192</v>
      </c>
      <c r="G1452" s="90">
        <v>127.5</v>
      </c>
      <c r="H1452" s="91"/>
      <c r="I1452" s="103">
        <v>21</v>
      </c>
      <c r="J1452" s="90">
        <f>ROUND(G1452*AO1452,2)</f>
        <v>0</v>
      </c>
      <c r="K1452" s="90">
        <f>ROUND(G1452*AP1452,2)</f>
        <v>0</v>
      </c>
      <c r="L1452" s="90">
        <f>ROUND(G1452*H1452,2)</f>
        <v>0</v>
      </c>
      <c r="M1452" s="90">
        <f>L1452*(1+BW1452/100)</f>
        <v>0</v>
      </c>
      <c r="N1452" s="90">
        <v>3.5999999999999999E-3</v>
      </c>
      <c r="O1452" s="90">
        <f>G1452*N1452</f>
        <v>0.45899999999999996</v>
      </c>
      <c r="P1452" s="92" t="s">
        <v>64</v>
      </c>
      <c r="Z1452" s="93">
        <f>ROUND(IF(AQ1452="5",BJ1452,0),2)</f>
        <v>0</v>
      </c>
      <c r="AB1452" s="93">
        <f>ROUND(IF(AQ1452="1",BH1452,0),2)</f>
        <v>0</v>
      </c>
      <c r="AC1452" s="93">
        <f>ROUND(IF(AQ1452="1",BI1452,0),2)</f>
        <v>0</v>
      </c>
      <c r="AD1452" s="93">
        <f>ROUND(IF(AQ1452="7",BH1452,0),2)</f>
        <v>0</v>
      </c>
      <c r="AE1452" s="93">
        <f>ROUND(IF(AQ1452="7",BI1452,0),2)</f>
        <v>0</v>
      </c>
      <c r="AF1452" s="93">
        <f>ROUND(IF(AQ1452="2",BH1452,0),2)</f>
        <v>0</v>
      </c>
      <c r="AG1452" s="93">
        <f>ROUND(IF(AQ1452="2",BI1452,0),2)</f>
        <v>0</v>
      </c>
      <c r="AH1452" s="93">
        <f>ROUND(IF(AQ1452="0",BJ1452,0),2)</f>
        <v>0</v>
      </c>
      <c r="AI1452" s="88" t="s">
        <v>55</v>
      </c>
      <c r="AJ1452" s="93">
        <f>IF(AN1452=0,L1452,0)</f>
        <v>0</v>
      </c>
      <c r="AK1452" s="93">
        <f>IF(AN1452=12,L1452,0)</f>
        <v>0</v>
      </c>
      <c r="AL1452" s="93">
        <f>IF(AN1452=21,L1452,0)</f>
        <v>0</v>
      </c>
      <c r="AN1452" s="93">
        <v>21</v>
      </c>
      <c r="AO1452" s="93">
        <f>H1452*1</f>
        <v>0</v>
      </c>
      <c r="AP1452" s="93">
        <f>H1452*(1-1)</f>
        <v>0</v>
      </c>
      <c r="AQ1452" s="94" t="s">
        <v>148</v>
      </c>
      <c r="AV1452" s="93">
        <f>ROUND(AW1452+AX1452,2)</f>
        <v>0</v>
      </c>
      <c r="AW1452" s="93">
        <f>ROUND(G1452*AO1452,2)</f>
        <v>0</v>
      </c>
      <c r="AX1452" s="93">
        <f>ROUND(G1452*AP1452,2)</f>
        <v>0</v>
      </c>
      <c r="AY1452" s="94" t="s">
        <v>1525</v>
      </c>
      <c r="AZ1452" s="94" t="s">
        <v>1360</v>
      </c>
      <c r="BA1452" s="88" t="s">
        <v>67</v>
      </c>
      <c r="BC1452" s="93">
        <f>AW1452+AX1452</f>
        <v>0</v>
      </c>
      <c r="BD1452" s="93">
        <f>H1452/(100-BE1452)*100</f>
        <v>0</v>
      </c>
      <c r="BE1452" s="93">
        <v>0</v>
      </c>
      <c r="BF1452" s="93">
        <f>O1452</f>
        <v>0.45899999999999996</v>
      </c>
      <c r="BH1452" s="93">
        <f>G1452*AO1452</f>
        <v>0</v>
      </c>
      <c r="BI1452" s="93">
        <f>G1452*AP1452</f>
        <v>0</v>
      </c>
      <c r="BJ1452" s="93">
        <f>G1452*H1452</f>
        <v>0</v>
      </c>
      <c r="BK1452" s="93"/>
      <c r="BL1452" s="93">
        <v>713</v>
      </c>
      <c r="BW1452" s="93">
        <f>I1452</f>
        <v>21</v>
      </c>
      <c r="BX1452" s="2" t="s">
        <v>1560</v>
      </c>
    </row>
    <row r="1453" spans="1:76" s="81" customFormat="1" x14ac:dyDescent="0.25">
      <c r="A1453" s="110"/>
      <c r="B1453" s="95"/>
      <c r="C1453" s="95"/>
      <c r="D1453" s="76" t="s">
        <v>1056</v>
      </c>
      <c r="E1453" s="76" t="s">
        <v>54</v>
      </c>
      <c r="F1453" s="95"/>
      <c r="G1453" s="96">
        <v>125</v>
      </c>
      <c r="H1453" s="97"/>
      <c r="I1453" s="95"/>
      <c r="J1453" s="95"/>
      <c r="K1453" s="95"/>
      <c r="L1453" s="95"/>
      <c r="M1453" s="95"/>
      <c r="N1453" s="95"/>
      <c r="O1453" s="95"/>
      <c r="P1453" s="95"/>
    </row>
    <row r="1454" spans="1:76" s="81" customFormat="1" x14ac:dyDescent="0.25">
      <c r="A1454" s="110"/>
      <c r="B1454" s="95"/>
      <c r="C1454" s="95"/>
      <c r="D1454" s="76" t="s">
        <v>1561</v>
      </c>
      <c r="E1454" s="76" t="s">
        <v>54</v>
      </c>
      <c r="F1454" s="95"/>
      <c r="G1454" s="96">
        <v>2.5</v>
      </c>
      <c r="H1454" s="97"/>
      <c r="I1454" s="95"/>
      <c r="J1454" s="95"/>
      <c r="K1454" s="95"/>
      <c r="L1454" s="95"/>
      <c r="M1454" s="95"/>
      <c r="N1454" s="95"/>
      <c r="O1454" s="95"/>
      <c r="P1454" s="95"/>
    </row>
    <row r="1455" spans="1:76" s="81" customFormat="1" ht="25.5" x14ac:dyDescent="0.25">
      <c r="A1455" s="66" t="s">
        <v>1566</v>
      </c>
      <c r="B1455" s="72" t="s">
        <v>55</v>
      </c>
      <c r="C1455" s="72" t="s">
        <v>1563</v>
      </c>
      <c r="D1455" s="174" t="s">
        <v>1564</v>
      </c>
      <c r="E1455" s="174"/>
      <c r="F1455" s="72" t="s">
        <v>192</v>
      </c>
      <c r="G1455" s="90">
        <v>43.043999999999997</v>
      </c>
      <c r="H1455" s="91"/>
      <c r="I1455" s="103">
        <v>21</v>
      </c>
      <c r="J1455" s="90">
        <f>ROUND(G1455*AO1455,2)</f>
        <v>0</v>
      </c>
      <c r="K1455" s="90">
        <f>ROUND(G1455*AP1455,2)</f>
        <v>0</v>
      </c>
      <c r="L1455" s="90">
        <f>ROUND(G1455*H1455,2)</f>
        <v>0</v>
      </c>
      <c r="M1455" s="90">
        <f>L1455*(1+BW1455/100)</f>
        <v>0</v>
      </c>
      <c r="N1455" s="90">
        <v>5.4000000000000003E-3</v>
      </c>
      <c r="O1455" s="90">
        <f>G1455*N1455</f>
        <v>0.23243759999999999</v>
      </c>
      <c r="P1455" s="92" t="s">
        <v>64</v>
      </c>
      <c r="Z1455" s="93">
        <f>ROUND(IF(AQ1455="5",BJ1455,0),2)</f>
        <v>0</v>
      </c>
      <c r="AB1455" s="93">
        <f>ROUND(IF(AQ1455="1",BH1455,0),2)</f>
        <v>0</v>
      </c>
      <c r="AC1455" s="93">
        <f>ROUND(IF(AQ1455="1",BI1455,0),2)</f>
        <v>0</v>
      </c>
      <c r="AD1455" s="93">
        <f>ROUND(IF(AQ1455="7",BH1455,0),2)</f>
        <v>0</v>
      </c>
      <c r="AE1455" s="93">
        <f>ROUND(IF(AQ1455="7",BI1455,0),2)</f>
        <v>0</v>
      </c>
      <c r="AF1455" s="93">
        <f>ROUND(IF(AQ1455="2",BH1455,0),2)</f>
        <v>0</v>
      </c>
      <c r="AG1455" s="93">
        <f>ROUND(IF(AQ1455="2",BI1455,0),2)</f>
        <v>0</v>
      </c>
      <c r="AH1455" s="93">
        <f>ROUND(IF(AQ1455="0",BJ1455,0),2)</f>
        <v>0</v>
      </c>
      <c r="AI1455" s="88" t="s">
        <v>55</v>
      </c>
      <c r="AJ1455" s="93">
        <f>IF(AN1455=0,L1455,0)</f>
        <v>0</v>
      </c>
      <c r="AK1455" s="93">
        <f>IF(AN1455=12,L1455,0)</f>
        <v>0</v>
      </c>
      <c r="AL1455" s="93">
        <f>IF(AN1455=21,L1455,0)</f>
        <v>0</v>
      </c>
      <c r="AN1455" s="93">
        <v>21</v>
      </c>
      <c r="AO1455" s="93">
        <f>H1455*1</f>
        <v>0</v>
      </c>
      <c r="AP1455" s="93">
        <f>H1455*(1-1)</f>
        <v>0</v>
      </c>
      <c r="AQ1455" s="94" t="s">
        <v>148</v>
      </c>
      <c r="AV1455" s="93">
        <f>ROUND(AW1455+AX1455,2)</f>
        <v>0</v>
      </c>
      <c r="AW1455" s="93">
        <f>ROUND(G1455*AO1455,2)</f>
        <v>0</v>
      </c>
      <c r="AX1455" s="93">
        <f>ROUND(G1455*AP1455,2)</f>
        <v>0</v>
      </c>
      <c r="AY1455" s="94" t="s">
        <v>1525</v>
      </c>
      <c r="AZ1455" s="94" t="s">
        <v>1360</v>
      </c>
      <c r="BA1455" s="88" t="s">
        <v>67</v>
      </c>
      <c r="BC1455" s="93">
        <f>AW1455+AX1455</f>
        <v>0</v>
      </c>
      <c r="BD1455" s="93">
        <f>H1455/(100-BE1455)*100</f>
        <v>0</v>
      </c>
      <c r="BE1455" s="93">
        <v>0</v>
      </c>
      <c r="BF1455" s="93">
        <f>O1455</f>
        <v>0.23243759999999999</v>
      </c>
      <c r="BH1455" s="93">
        <f>G1455*AO1455</f>
        <v>0</v>
      </c>
      <c r="BI1455" s="93">
        <f>G1455*AP1455</f>
        <v>0</v>
      </c>
      <c r="BJ1455" s="93">
        <f>G1455*H1455</f>
        <v>0</v>
      </c>
      <c r="BK1455" s="93"/>
      <c r="BL1455" s="93">
        <v>713</v>
      </c>
      <c r="BW1455" s="93">
        <f>I1455</f>
        <v>21</v>
      </c>
      <c r="BX1455" s="2" t="s">
        <v>1564</v>
      </c>
    </row>
    <row r="1456" spans="1:76" s="81" customFormat="1" x14ac:dyDescent="0.25">
      <c r="A1456" s="110"/>
      <c r="B1456" s="95"/>
      <c r="C1456" s="95"/>
      <c r="D1456" s="76" t="s">
        <v>1297</v>
      </c>
      <c r="E1456" s="76" t="s">
        <v>54</v>
      </c>
      <c r="F1456" s="95"/>
      <c r="G1456" s="96">
        <v>42.2</v>
      </c>
      <c r="H1456" s="97"/>
      <c r="I1456" s="95"/>
      <c r="J1456" s="95"/>
      <c r="K1456" s="95"/>
      <c r="L1456" s="95"/>
      <c r="M1456" s="95"/>
      <c r="N1456" s="95"/>
      <c r="O1456" s="95"/>
      <c r="P1456" s="95"/>
    </row>
    <row r="1457" spans="1:76" s="81" customFormat="1" x14ac:dyDescent="0.25">
      <c r="A1457" s="110"/>
      <c r="B1457" s="95"/>
      <c r="C1457" s="95"/>
      <c r="D1457" s="76" t="s">
        <v>1565</v>
      </c>
      <c r="E1457" s="76" t="s">
        <v>54</v>
      </c>
      <c r="F1457" s="95"/>
      <c r="G1457" s="96">
        <v>0.84399999999999997</v>
      </c>
      <c r="H1457" s="97"/>
      <c r="I1457" s="95"/>
      <c r="J1457" s="95"/>
      <c r="K1457" s="95"/>
      <c r="L1457" s="95"/>
      <c r="M1457" s="95"/>
      <c r="N1457" s="95"/>
      <c r="O1457" s="95"/>
      <c r="P1457" s="95"/>
    </row>
    <row r="1458" spans="1:76" s="81" customFormat="1" ht="25.5" x14ac:dyDescent="0.25">
      <c r="A1458" s="66" t="s">
        <v>1572</v>
      </c>
      <c r="B1458" s="72" t="s">
        <v>55</v>
      </c>
      <c r="C1458" s="72" t="s">
        <v>1567</v>
      </c>
      <c r="D1458" s="174" t="s">
        <v>1568</v>
      </c>
      <c r="E1458" s="174"/>
      <c r="F1458" s="72" t="s">
        <v>192</v>
      </c>
      <c r="G1458" s="90">
        <v>946.36136999999997</v>
      </c>
      <c r="H1458" s="91"/>
      <c r="I1458" s="103">
        <v>21</v>
      </c>
      <c r="J1458" s="90">
        <f>ROUND(G1458*AO1458,2)</f>
        <v>0</v>
      </c>
      <c r="K1458" s="90">
        <f>ROUND(G1458*AP1458,2)</f>
        <v>0</v>
      </c>
      <c r="L1458" s="90">
        <f>ROUND(G1458*H1458,2)</f>
        <v>0</v>
      </c>
      <c r="M1458" s="90">
        <f>L1458*(1+BW1458/100)</f>
        <v>0</v>
      </c>
      <c r="N1458" s="90">
        <v>3.3E-4</v>
      </c>
      <c r="O1458" s="90">
        <f>G1458*N1458</f>
        <v>0.31229925209999998</v>
      </c>
      <c r="P1458" s="92" t="s">
        <v>64</v>
      </c>
      <c r="Z1458" s="93">
        <f>ROUND(IF(AQ1458="5",BJ1458,0),2)</f>
        <v>0</v>
      </c>
      <c r="AB1458" s="93">
        <f>ROUND(IF(AQ1458="1",BH1458,0),2)</f>
        <v>0</v>
      </c>
      <c r="AC1458" s="93">
        <f>ROUND(IF(AQ1458="1",BI1458,0),2)</f>
        <v>0</v>
      </c>
      <c r="AD1458" s="93">
        <f>ROUND(IF(AQ1458="7",BH1458,0),2)</f>
        <v>0</v>
      </c>
      <c r="AE1458" s="93">
        <f>ROUND(IF(AQ1458="7",BI1458,0),2)</f>
        <v>0</v>
      </c>
      <c r="AF1458" s="93">
        <f>ROUND(IF(AQ1458="2",BH1458,0),2)</f>
        <v>0</v>
      </c>
      <c r="AG1458" s="93">
        <f>ROUND(IF(AQ1458="2",BI1458,0),2)</f>
        <v>0</v>
      </c>
      <c r="AH1458" s="93">
        <f>ROUND(IF(AQ1458="0",BJ1458,0),2)</f>
        <v>0</v>
      </c>
      <c r="AI1458" s="88" t="s">
        <v>55</v>
      </c>
      <c r="AJ1458" s="93">
        <f>IF(AN1458=0,L1458,0)</f>
        <v>0</v>
      </c>
      <c r="AK1458" s="93">
        <f>IF(AN1458=12,L1458,0)</f>
        <v>0</v>
      </c>
      <c r="AL1458" s="93">
        <f>IF(AN1458=21,L1458,0)</f>
        <v>0</v>
      </c>
      <c r="AN1458" s="93">
        <v>21</v>
      </c>
      <c r="AO1458" s="93">
        <f>H1458*0.384709923</f>
        <v>0</v>
      </c>
      <c r="AP1458" s="93">
        <f>H1458*(1-0.384709923)</f>
        <v>0</v>
      </c>
      <c r="AQ1458" s="94" t="s">
        <v>148</v>
      </c>
      <c r="AV1458" s="93">
        <f>ROUND(AW1458+AX1458,2)</f>
        <v>0</v>
      </c>
      <c r="AW1458" s="93">
        <f>ROUND(G1458*AO1458,2)</f>
        <v>0</v>
      </c>
      <c r="AX1458" s="93">
        <f>ROUND(G1458*AP1458,2)</f>
        <v>0</v>
      </c>
      <c r="AY1458" s="94" t="s">
        <v>1525</v>
      </c>
      <c r="AZ1458" s="94" t="s">
        <v>1360</v>
      </c>
      <c r="BA1458" s="88" t="s">
        <v>67</v>
      </c>
      <c r="BC1458" s="93">
        <f>AW1458+AX1458</f>
        <v>0</v>
      </c>
      <c r="BD1458" s="93">
        <f>H1458/(100-BE1458)*100</f>
        <v>0</v>
      </c>
      <c r="BE1458" s="93">
        <v>0</v>
      </c>
      <c r="BF1458" s="93">
        <f>O1458</f>
        <v>0.31229925209999998</v>
      </c>
      <c r="BH1458" s="93">
        <f>G1458*AO1458</f>
        <v>0</v>
      </c>
      <c r="BI1458" s="93">
        <f>G1458*AP1458</f>
        <v>0</v>
      </c>
      <c r="BJ1458" s="93">
        <f>G1458*H1458</f>
        <v>0</v>
      </c>
      <c r="BK1458" s="93"/>
      <c r="BL1458" s="93">
        <v>713</v>
      </c>
      <c r="BW1458" s="93">
        <f>I1458</f>
        <v>21</v>
      </c>
      <c r="BX1458" s="2" t="s">
        <v>1568</v>
      </c>
    </row>
    <row r="1459" spans="1:76" s="81" customFormat="1" x14ac:dyDescent="0.25">
      <c r="A1459" s="110"/>
      <c r="B1459" s="95"/>
      <c r="C1459" s="95"/>
      <c r="D1459" s="76" t="s">
        <v>54</v>
      </c>
      <c r="E1459" s="76" t="s">
        <v>1569</v>
      </c>
      <c r="F1459" s="95"/>
      <c r="G1459" s="96">
        <v>0</v>
      </c>
      <c r="H1459" s="97"/>
      <c r="I1459" s="95"/>
      <c r="J1459" s="95"/>
      <c r="K1459" s="95"/>
      <c r="L1459" s="95"/>
      <c r="M1459" s="95"/>
      <c r="N1459" s="95"/>
      <c r="O1459" s="95"/>
      <c r="P1459" s="95"/>
    </row>
    <row r="1460" spans="1:76" s="81" customFormat="1" x14ac:dyDescent="0.25">
      <c r="A1460" s="110"/>
      <c r="B1460" s="95"/>
      <c r="C1460" s="95"/>
      <c r="D1460" s="76" t="s">
        <v>54</v>
      </c>
      <c r="E1460" s="76" t="s">
        <v>831</v>
      </c>
      <c r="F1460" s="95"/>
      <c r="G1460" s="96">
        <v>0</v>
      </c>
      <c r="H1460" s="97"/>
      <c r="I1460" s="95"/>
      <c r="J1460" s="95"/>
      <c r="K1460" s="95"/>
      <c r="L1460" s="95"/>
      <c r="M1460" s="95"/>
      <c r="N1460" s="95"/>
      <c r="O1460" s="95"/>
      <c r="P1460" s="95"/>
    </row>
    <row r="1461" spans="1:76" s="81" customFormat="1" x14ac:dyDescent="0.25">
      <c r="A1461" s="110"/>
      <c r="B1461" s="95"/>
      <c r="C1461" s="95"/>
      <c r="D1461" s="76" t="s">
        <v>54</v>
      </c>
      <c r="E1461" s="76" t="s">
        <v>1570</v>
      </c>
      <c r="F1461" s="95"/>
      <c r="G1461" s="96">
        <v>0</v>
      </c>
      <c r="H1461" s="97"/>
      <c r="I1461" s="95"/>
      <c r="J1461" s="95"/>
      <c r="K1461" s="95"/>
      <c r="L1461" s="95"/>
      <c r="M1461" s="95"/>
      <c r="N1461" s="95"/>
      <c r="O1461" s="95"/>
      <c r="P1461" s="95"/>
    </row>
    <row r="1462" spans="1:76" s="81" customFormat="1" x14ac:dyDescent="0.25">
      <c r="A1462" s="110"/>
      <c r="B1462" s="95"/>
      <c r="C1462" s="95"/>
      <c r="D1462" s="76" t="s">
        <v>1408</v>
      </c>
      <c r="E1462" s="76" t="s">
        <v>841</v>
      </c>
      <c r="F1462" s="95"/>
      <c r="G1462" s="96">
        <v>42.173999999999999</v>
      </c>
      <c r="H1462" s="97"/>
      <c r="I1462" s="95"/>
      <c r="J1462" s="95"/>
      <c r="K1462" s="95"/>
      <c r="L1462" s="95"/>
      <c r="M1462" s="95"/>
      <c r="N1462" s="95"/>
      <c r="O1462" s="95"/>
      <c r="P1462" s="95"/>
    </row>
    <row r="1463" spans="1:76" s="81" customFormat="1" x14ac:dyDescent="0.25">
      <c r="A1463" s="110"/>
      <c r="B1463" s="95"/>
      <c r="C1463" s="95"/>
      <c r="D1463" s="76" t="s">
        <v>1409</v>
      </c>
      <c r="E1463" s="76" t="s">
        <v>843</v>
      </c>
      <c r="F1463" s="95"/>
      <c r="G1463" s="96">
        <v>13.88</v>
      </c>
      <c r="H1463" s="97"/>
      <c r="I1463" s="95"/>
      <c r="J1463" s="95"/>
      <c r="K1463" s="95"/>
      <c r="L1463" s="95"/>
      <c r="M1463" s="95"/>
      <c r="N1463" s="95"/>
      <c r="O1463" s="95"/>
      <c r="P1463" s="95"/>
    </row>
    <row r="1464" spans="1:76" s="81" customFormat="1" x14ac:dyDescent="0.25">
      <c r="A1464" s="110"/>
      <c r="B1464" s="95"/>
      <c r="C1464" s="95"/>
      <c r="D1464" s="76" t="s">
        <v>1410</v>
      </c>
      <c r="E1464" s="76" t="s">
        <v>834</v>
      </c>
      <c r="F1464" s="95"/>
      <c r="G1464" s="96">
        <v>40.29</v>
      </c>
      <c r="H1464" s="97"/>
      <c r="I1464" s="95"/>
      <c r="J1464" s="95"/>
      <c r="K1464" s="95"/>
      <c r="L1464" s="95"/>
      <c r="M1464" s="95"/>
      <c r="N1464" s="95"/>
      <c r="O1464" s="95"/>
      <c r="P1464" s="95"/>
    </row>
    <row r="1465" spans="1:76" s="81" customFormat="1" x14ac:dyDescent="0.25">
      <c r="A1465" s="110"/>
      <c r="B1465" s="95"/>
      <c r="C1465" s="95"/>
      <c r="D1465" s="76" t="s">
        <v>54</v>
      </c>
      <c r="E1465" s="76" t="s">
        <v>835</v>
      </c>
      <c r="F1465" s="95"/>
      <c r="G1465" s="96">
        <v>0</v>
      </c>
      <c r="H1465" s="97"/>
      <c r="I1465" s="95"/>
      <c r="J1465" s="95"/>
      <c r="K1465" s="95"/>
      <c r="L1465" s="95"/>
      <c r="M1465" s="95"/>
      <c r="N1465" s="95"/>
      <c r="O1465" s="95"/>
      <c r="P1465" s="95"/>
    </row>
    <row r="1466" spans="1:76" s="81" customFormat="1" x14ac:dyDescent="0.25">
      <c r="A1466" s="110"/>
      <c r="B1466" s="95"/>
      <c r="C1466" s="95"/>
      <c r="D1466" s="76" t="s">
        <v>1411</v>
      </c>
      <c r="E1466" s="76" t="s">
        <v>54</v>
      </c>
      <c r="F1466" s="95"/>
      <c r="G1466" s="96">
        <v>510.66300000000001</v>
      </c>
      <c r="H1466" s="97"/>
      <c r="I1466" s="95"/>
      <c r="J1466" s="95"/>
      <c r="K1466" s="95"/>
      <c r="L1466" s="95"/>
      <c r="M1466" s="95"/>
      <c r="N1466" s="95"/>
      <c r="O1466" s="95"/>
      <c r="P1466" s="95"/>
    </row>
    <row r="1467" spans="1:76" s="81" customFormat="1" x14ac:dyDescent="0.25">
      <c r="A1467" s="110"/>
      <c r="B1467" s="95"/>
      <c r="C1467" s="95"/>
      <c r="D1467" s="76" t="s">
        <v>54</v>
      </c>
      <c r="E1467" s="76" t="s">
        <v>1571</v>
      </c>
      <c r="F1467" s="95"/>
      <c r="G1467" s="96">
        <v>0</v>
      </c>
      <c r="H1467" s="97"/>
      <c r="I1467" s="95"/>
      <c r="J1467" s="95"/>
      <c r="K1467" s="95"/>
      <c r="L1467" s="95"/>
      <c r="M1467" s="95"/>
      <c r="N1467" s="95"/>
      <c r="O1467" s="95"/>
      <c r="P1467" s="95"/>
    </row>
    <row r="1468" spans="1:76" s="81" customFormat="1" x14ac:dyDescent="0.25">
      <c r="A1468" s="110"/>
      <c r="B1468" s="95"/>
      <c r="C1468" s="95"/>
      <c r="D1468" s="76" t="s">
        <v>54</v>
      </c>
      <c r="E1468" s="76" t="s">
        <v>443</v>
      </c>
      <c r="F1468" s="95"/>
      <c r="G1468" s="96">
        <v>0</v>
      </c>
      <c r="H1468" s="97"/>
      <c r="I1468" s="95"/>
      <c r="J1468" s="95"/>
      <c r="K1468" s="95"/>
      <c r="L1468" s="95"/>
      <c r="M1468" s="95"/>
      <c r="N1468" s="95"/>
      <c r="O1468" s="95"/>
      <c r="P1468" s="95"/>
    </row>
    <row r="1469" spans="1:76" s="81" customFormat="1" x14ac:dyDescent="0.25">
      <c r="A1469" s="110"/>
      <c r="B1469" s="95"/>
      <c r="C1469" s="95"/>
      <c r="D1469" s="76" t="s">
        <v>1412</v>
      </c>
      <c r="E1469" s="76" t="s">
        <v>839</v>
      </c>
      <c r="F1469" s="95"/>
      <c r="G1469" s="96">
        <v>266.63436999999999</v>
      </c>
      <c r="H1469" s="97"/>
      <c r="I1469" s="95"/>
      <c r="J1469" s="95"/>
      <c r="K1469" s="95"/>
      <c r="L1469" s="95"/>
      <c r="M1469" s="95"/>
      <c r="N1469" s="95"/>
      <c r="O1469" s="95"/>
      <c r="P1469" s="95"/>
    </row>
    <row r="1470" spans="1:76" s="81" customFormat="1" x14ac:dyDescent="0.25">
      <c r="A1470" s="110"/>
      <c r="B1470" s="95"/>
      <c r="C1470" s="95"/>
      <c r="D1470" s="76" t="s">
        <v>54</v>
      </c>
      <c r="E1470" s="76" t="s">
        <v>1216</v>
      </c>
      <c r="F1470" s="95"/>
      <c r="G1470" s="96">
        <v>0</v>
      </c>
      <c r="H1470" s="97"/>
      <c r="I1470" s="95"/>
      <c r="J1470" s="95"/>
      <c r="K1470" s="95"/>
      <c r="L1470" s="95"/>
      <c r="M1470" s="95"/>
      <c r="N1470" s="95"/>
      <c r="O1470" s="95"/>
      <c r="P1470" s="95"/>
    </row>
    <row r="1471" spans="1:76" s="81" customFormat="1" x14ac:dyDescent="0.25">
      <c r="A1471" s="110"/>
      <c r="B1471" s="95"/>
      <c r="C1471" s="95"/>
      <c r="D1471" s="76" t="s">
        <v>54</v>
      </c>
      <c r="E1471" s="76" t="s">
        <v>443</v>
      </c>
      <c r="F1471" s="95"/>
      <c r="G1471" s="96">
        <v>0</v>
      </c>
      <c r="H1471" s="97"/>
      <c r="I1471" s="95"/>
      <c r="J1471" s="95"/>
      <c r="K1471" s="95"/>
      <c r="L1471" s="95"/>
      <c r="M1471" s="95"/>
      <c r="N1471" s="95"/>
      <c r="O1471" s="95"/>
      <c r="P1471" s="95"/>
    </row>
    <row r="1472" spans="1:76" s="81" customFormat="1" x14ac:dyDescent="0.25">
      <c r="A1472" s="110"/>
      <c r="B1472" s="95"/>
      <c r="C1472" s="95"/>
      <c r="D1472" s="76" t="s">
        <v>1217</v>
      </c>
      <c r="E1472" s="76" t="s">
        <v>54</v>
      </c>
      <c r="F1472" s="95"/>
      <c r="G1472" s="96">
        <v>72.72</v>
      </c>
      <c r="H1472" s="97"/>
      <c r="I1472" s="95"/>
      <c r="J1472" s="95"/>
      <c r="K1472" s="95"/>
      <c r="L1472" s="95"/>
      <c r="M1472" s="95"/>
      <c r="N1472" s="95"/>
      <c r="O1472" s="95"/>
      <c r="P1472" s="95"/>
    </row>
    <row r="1473" spans="1:76" s="81" customFormat="1" ht="25.5" x14ac:dyDescent="0.25">
      <c r="A1473" s="66" t="s">
        <v>1582</v>
      </c>
      <c r="B1473" s="72" t="s">
        <v>55</v>
      </c>
      <c r="C1473" s="72" t="s">
        <v>1573</v>
      </c>
      <c r="D1473" s="174" t="s">
        <v>1574</v>
      </c>
      <c r="E1473" s="174"/>
      <c r="F1473" s="72" t="s">
        <v>62</v>
      </c>
      <c r="G1473" s="90">
        <v>173.77271999999999</v>
      </c>
      <c r="H1473" s="91"/>
      <c r="I1473" s="103">
        <v>21</v>
      </c>
      <c r="J1473" s="90">
        <f>ROUND(G1473*AO1473,2)</f>
        <v>0</v>
      </c>
      <c r="K1473" s="90">
        <f>ROUND(G1473*AP1473,2)</f>
        <v>0</v>
      </c>
      <c r="L1473" s="90">
        <f>ROUND(G1473*H1473,2)</f>
        <v>0</v>
      </c>
      <c r="M1473" s="90">
        <f>L1473*(1+BW1473/100)</f>
        <v>0</v>
      </c>
      <c r="N1473" s="90">
        <v>2.5000000000000001E-2</v>
      </c>
      <c r="O1473" s="90">
        <f>G1473*N1473</f>
        <v>4.3443180000000003</v>
      </c>
      <c r="P1473" s="92" t="s">
        <v>64</v>
      </c>
      <c r="Z1473" s="93">
        <f>ROUND(IF(AQ1473="5",BJ1473,0),2)</f>
        <v>0</v>
      </c>
      <c r="AB1473" s="93">
        <f>ROUND(IF(AQ1473="1",BH1473,0),2)</f>
        <v>0</v>
      </c>
      <c r="AC1473" s="93">
        <f>ROUND(IF(AQ1473="1",BI1473,0),2)</f>
        <v>0</v>
      </c>
      <c r="AD1473" s="93">
        <f>ROUND(IF(AQ1473="7",BH1473,0),2)</f>
        <v>0</v>
      </c>
      <c r="AE1473" s="93">
        <f>ROUND(IF(AQ1473="7",BI1473,0),2)</f>
        <v>0</v>
      </c>
      <c r="AF1473" s="93">
        <f>ROUND(IF(AQ1473="2",BH1473,0),2)</f>
        <v>0</v>
      </c>
      <c r="AG1473" s="93">
        <f>ROUND(IF(AQ1473="2",BI1473,0),2)</f>
        <v>0</v>
      </c>
      <c r="AH1473" s="93">
        <f>ROUND(IF(AQ1473="0",BJ1473,0),2)</f>
        <v>0</v>
      </c>
      <c r="AI1473" s="88" t="s">
        <v>55</v>
      </c>
      <c r="AJ1473" s="93">
        <f>IF(AN1473=0,L1473,0)</f>
        <v>0</v>
      </c>
      <c r="AK1473" s="93">
        <f>IF(AN1473=12,L1473,0)</f>
        <v>0</v>
      </c>
      <c r="AL1473" s="93">
        <f>IF(AN1473=21,L1473,0)</f>
        <v>0</v>
      </c>
      <c r="AN1473" s="93">
        <v>21</v>
      </c>
      <c r="AO1473" s="93">
        <f>H1473*1</f>
        <v>0</v>
      </c>
      <c r="AP1473" s="93">
        <f>H1473*(1-1)</f>
        <v>0</v>
      </c>
      <c r="AQ1473" s="94" t="s">
        <v>148</v>
      </c>
      <c r="AV1473" s="93">
        <f>ROUND(AW1473+AX1473,2)</f>
        <v>0</v>
      </c>
      <c r="AW1473" s="93">
        <f>ROUND(G1473*AO1473,2)</f>
        <v>0</v>
      </c>
      <c r="AX1473" s="93">
        <f>ROUND(G1473*AP1473,2)</f>
        <v>0</v>
      </c>
      <c r="AY1473" s="94" t="s">
        <v>1525</v>
      </c>
      <c r="AZ1473" s="94" t="s">
        <v>1360</v>
      </c>
      <c r="BA1473" s="88" t="s">
        <v>67</v>
      </c>
      <c r="BC1473" s="93">
        <f>AW1473+AX1473</f>
        <v>0</v>
      </c>
      <c r="BD1473" s="93">
        <f>H1473/(100-BE1473)*100</f>
        <v>0</v>
      </c>
      <c r="BE1473" s="93">
        <v>0</v>
      </c>
      <c r="BF1473" s="93">
        <f>O1473</f>
        <v>4.3443180000000003</v>
      </c>
      <c r="BH1473" s="93">
        <f>G1473*AO1473</f>
        <v>0</v>
      </c>
      <c r="BI1473" s="93">
        <f>G1473*AP1473</f>
        <v>0</v>
      </c>
      <c r="BJ1473" s="93">
        <f>G1473*H1473</f>
        <v>0</v>
      </c>
      <c r="BK1473" s="93"/>
      <c r="BL1473" s="93">
        <v>713</v>
      </c>
      <c r="BW1473" s="93">
        <f>I1473</f>
        <v>21</v>
      </c>
      <c r="BX1473" s="2" t="s">
        <v>1574</v>
      </c>
    </row>
    <row r="1474" spans="1:76" s="81" customFormat="1" x14ac:dyDescent="0.25">
      <c r="A1474" s="110"/>
      <c r="B1474" s="95"/>
      <c r="C1474" s="95"/>
      <c r="D1474" s="76" t="s">
        <v>54</v>
      </c>
      <c r="E1474" s="76" t="s">
        <v>831</v>
      </c>
      <c r="F1474" s="95"/>
      <c r="G1474" s="96">
        <v>0</v>
      </c>
      <c r="H1474" s="97"/>
      <c r="I1474" s="95"/>
      <c r="J1474" s="95"/>
      <c r="K1474" s="95"/>
      <c r="L1474" s="95"/>
      <c r="M1474" s="95"/>
      <c r="N1474" s="95"/>
      <c r="O1474" s="95"/>
      <c r="P1474" s="95"/>
    </row>
    <row r="1475" spans="1:76" s="81" customFormat="1" x14ac:dyDescent="0.25">
      <c r="A1475" s="110"/>
      <c r="B1475" s="95"/>
      <c r="C1475" s="95"/>
      <c r="D1475" s="76" t="s">
        <v>54</v>
      </c>
      <c r="E1475" s="76" t="s">
        <v>832</v>
      </c>
      <c r="F1475" s="95"/>
      <c r="G1475" s="96">
        <v>0</v>
      </c>
      <c r="H1475" s="97"/>
      <c r="I1475" s="95"/>
      <c r="J1475" s="95"/>
      <c r="K1475" s="95"/>
      <c r="L1475" s="95"/>
      <c r="M1475" s="95"/>
      <c r="N1475" s="95"/>
      <c r="O1475" s="95"/>
      <c r="P1475" s="95"/>
    </row>
    <row r="1476" spans="1:76" s="81" customFormat="1" x14ac:dyDescent="0.25">
      <c r="A1476" s="110"/>
      <c r="B1476" s="95"/>
      <c r="C1476" s="95"/>
      <c r="D1476" s="76" t="s">
        <v>1575</v>
      </c>
      <c r="E1476" s="76" t="s">
        <v>841</v>
      </c>
      <c r="F1476" s="95"/>
      <c r="G1476" s="96">
        <v>8.4347999999999992</v>
      </c>
      <c r="H1476" s="97"/>
      <c r="I1476" s="95"/>
      <c r="J1476" s="95"/>
      <c r="K1476" s="95"/>
      <c r="L1476" s="95"/>
      <c r="M1476" s="95"/>
      <c r="N1476" s="95"/>
      <c r="O1476" s="95"/>
      <c r="P1476" s="95"/>
    </row>
    <row r="1477" spans="1:76" s="81" customFormat="1" x14ac:dyDescent="0.25">
      <c r="A1477" s="110"/>
      <c r="B1477" s="95"/>
      <c r="C1477" s="95"/>
      <c r="D1477" s="76" t="s">
        <v>1576</v>
      </c>
      <c r="E1477" s="76" t="s">
        <v>843</v>
      </c>
      <c r="F1477" s="95"/>
      <c r="G1477" s="96">
        <v>2.7759999999999998</v>
      </c>
      <c r="H1477" s="97"/>
      <c r="I1477" s="95"/>
      <c r="J1477" s="95"/>
      <c r="K1477" s="95"/>
      <c r="L1477" s="95"/>
      <c r="M1477" s="95"/>
      <c r="N1477" s="95"/>
      <c r="O1477" s="95"/>
      <c r="P1477" s="95"/>
    </row>
    <row r="1478" spans="1:76" s="81" customFormat="1" x14ac:dyDescent="0.25">
      <c r="A1478" s="110"/>
      <c r="B1478" s="95"/>
      <c r="C1478" s="95"/>
      <c r="D1478" s="76" t="s">
        <v>1577</v>
      </c>
      <c r="E1478" s="76" t="s">
        <v>834</v>
      </c>
      <c r="F1478" s="95"/>
      <c r="G1478" s="96">
        <v>8.0579999999999998</v>
      </c>
      <c r="H1478" s="97"/>
      <c r="I1478" s="95"/>
      <c r="J1478" s="95"/>
      <c r="K1478" s="95"/>
      <c r="L1478" s="95"/>
      <c r="M1478" s="95"/>
      <c r="N1478" s="95"/>
      <c r="O1478" s="95"/>
      <c r="P1478" s="95"/>
    </row>
    <row r="1479" spans="1:76" s="81" customFormat="1" x14ac:dyDescent="0.25">
      <c r="A1479" s="110"/>
      <c r="B1479" s="95"/>
      <c r="C1479" s="95"/>
      <c r="D1479" s="76" t="s">
        <v>54</v>
      </c>
      <c r="E1479" s="76" t="s">
        <v>835</v>
      </c>
      <c r="F1479" s="95"/>
      <c r="G1479" s="96">
        <v>0</v>
      </c>
      <c r="H1479" s="97"/>
      <c r="I1479" s="95"/>
      <c r="J1479" s="95"/>
      <c r="K1479" s="95"/>
      <c r="L1479" s="95"/>
      <c r="M1479" s="95"/>
      <c r="N1479" s="95"/>
      <c r="O1479" s="95"/>
      <c r="P1479" s="95"/>
    </row>
    <row r="1480" spans="1:76" s="81" customFormat="1" x14ac:dyDescent="0.25">
      <c r="A1480" s="110"/>
      <c r="B1480" s="95"/>
      <c r="C1480" s="95"/>
      <c r="D1480" s="76" t="s">
        <v>1578</v>
      </c>
      <c r="E1480" s="76" t="s">
        <v>54</v>
      </c>
      <c r="F1480" s="95"/>
      <c r="G1480" s="96">
        <v>102.1326</v>
      </c>
      <c r="H1480" s="97"/>
      <c r="I1480" s="95"/>
      <c r="J1480" s="95"/>
      <c r="K1480" s="95"/>
      <c r="L1480" s="95"/>
      <c r="M1480" s="95"/>
      <c r="N1480" s="95"/>
      <c r="O1480" s="95"/>
      <c r="P1480" s="95"/>
    </row>
    <row r="1481" spans="1:76" s="81" customFormat="1" x14ac:dyDescent="0.25">
      <c r="A1481" s="110"/>
      <c r="B1481" s="95"/>
      <c r="C1481" s="95"/>
      <c r="D1481" s="76" t="s">
        <v>54</v>
      </c>
      <c r="E1481" s="76" t="s">
        <v>837</v>
      </c>
      <c r="F1481" s="95"/>
      <c r="G1481" s="96">
        <v>0</v>
      </c>
      <c r="H1481" s="97"/>
      <c r="I1481" s="95"/>
      <c r="J1481" s="95"/>
      <c r="K1481" s="95"/>
      <c r="L1481" s="95"/>
      <c r="M1481" s="95"/>
      <c r="N1481" s="95"/>
      <c r="O1481" s="95"/>
      <c r="P1481" s="95"/>
    </row>
    <row r="1482" spans="1:76" s="81" customFormat="1" x14ac:dyDescent="0.25">
      <c r="A1482" s="110"/>
      <c r="B1482" s="95"/>
      <c r="C1482" s="95"/>
      <c r="D1482" s="76" t="s">
        <v>54</v>
      </c>
      <c r="E1482" s="76" t="s">
        <v>443</v>
      </c>
      <c r="F1482" s="95"/>
      <c r="G1482" s="96">
        <v>0</v>
      </c>
      <c r="H1482" s="97"/>
      <c r="I1482" s="95"/>
      <c r="J1482" s="95"/>
      <c r="K1482" s="95"/>
      <c r="L1482" s="95"/>
      <c r="M1482" s="95"/>
      <c r="N1482" s="95"/>
      <c r="O1482" s="95"/>
      <c r="P1482" s="95"/>
    </row>
    <row r="1483" spans="1:76" s="81" customFormat="1" x14ac:dyDescent="0.25">
      <c r="A1483" s="110"/>
      <c r="B1483" s="95"/>
      <c r="C1483" s="95"/>
      <c r="D1483" s="76" t="s">
        <v>1579</v>
      </c>
      <c r="E1483" s="76" t="s">
        <v>839</v>
      </c>
      <c r="F1483" s="95"/>
      <c r="G1483" s="96">
        <v>37.328809999999997</v>
      </c>
      <c r="H1483" s="97"/>
      <c r="I1483" s="95"/>
      <c r="J1483" s="95"/>
      <c r="K1483" s="95"/>
      <c r="L1483" s="95"/>
      <c r="M1483" s="95"/>
      <c r="N1483" s="95"/>
      <c r="O1483" s="95"/>
      <c r="P1483" s="95"/>
    </row>
    <row r="1484" spans="1:76" s="81" customFormat="1" x14ac:dyDescent="0.25">
      <c r="A1484" s="110"/>
      <c r="B1484" s="95"/>
      <c r="C1484" s="95"/>
      <c r="D1484" s="76" t="s">
        <v>54</v>
      </c>
      <c r="E1484" s="76" t="s">
        <v>1216</v>
      </c>
      <c r="F1484" s="95"/>
      <c r="G1484" s="96">
        <v>0</v>
      </c>
      <c r="H1484" s="97"/>
      <c r="I1484" s="95"/>
      <c r="J1484" s="95"/>
      <c r="K1484" s="95"/>
      <c r="L1484" s="95"/>
      <c r="M1484" s="95"/>
      <c r="N1484" s="95"/>
      <c r="O1484" s="95"/>
      <c r="P1484" s="95"/>
    </row>
    <row r="1485" spans="1:76" s="81" customFormat="1" x14ac:dyDescent="0.25">
      <c r="A1485" s="110"/>
      <c r="B1485" s="95"/>
      <c r="C1485" s="95"/>
      <c r="D1485" s="76" t="s">
        <v>54</v>
      </c>
      <c r="E1485" s="76" t="s">
        <v>443</v>
      </c>
      <c r="F1485" s="95"/>
      <c r="G1485" s="96">
        <v>0</v>
      </c>
      <c r="H1485" s="97"/>
      <c r="I1485" s="95"/>
      <c r="J1485" s="95"/>
      <c r="K1485" s="95"/>
      <c r="L1485" s="95"/>
      <c r="M1485" s="95"/>
      <c r="N1485" s="95"/>
      <c r="O1485" s="95"/>
      <c r="P1485" s="95"/>
    </row>
    <row r="1486" spans="1:76" s="81" customFormat="1" x14ac:dyDescent="0.25">
      <c r="A1486" s="110"/>
      <c r="B1486" s="95"/>
      <c r="C1486" s="95"/>
      <c r="D1486" s="76" t="s">
        <v>1580</v>
      </c>
      <c r="E1486" s="76" t="s">
        <v>54</v>
      </c>
      <c r="F1486" s="95"/>
      <c r="G1486" s="96">
        <v>11.635199999999999</v>
      </c>
      <c r="H1486" s="97"/>
      <c r="I1486" s="95"/>
      <c r="J1486" s="95"/>
      <c r="K1486" s="95"/>
      <c r="L1486" s="95"/>
      <c r="M1486" s="95"/>
      <c r="N1486" s="95"/>
      <c r="O1486" s="95"/>
      <c r="P1486" s="95"/>
    </row>
    <row r="1487" spans="1:76" s="81" customFormat="1" x14ac:dyDescent="0.25">
      <c r="A1487" s="110"/>
      <c r="B1487" s="95"/>
      <c r="C1487" s="95"/>
      <c r="D1487" s="76" t="s">
        <v>1581</v>
      </c>
      <c r="E1487" s="76" t="s">
        <v>54</v>
      </c>
      <c r="F1487" s="95"/>
      <c r="G1487" s="96">
        <v>3.4073099999999998</v>
      </c>
      <c r="H1487" s="97"/>
      <c r="I1487" s="95"/>
      <c r="J1487" s="95"/>
      <c r="K1487" s="95"/>
      <c r="L1487" s="95"/>
      <c r="M1487" s="95"/>
      <c r="N1487" s="95"/>
      <c r="O1487" s="95"/>
      <c r="P1487" s="95"/>
    </row>
    <row r="1488" spans="1:76" s="81" customFormat="1" ht="25.5" x14ac:dyDescent="0.25">
      <c r="A1488" s="66" t="s">
        <v>1588</v>
      </c>
      <c r="B1488" s="72" t="s">
        <v>55</v>
      </c>
      <c r="C1488" s="72" t="s">
        <v>1567</v>
      </c>
      <c r="D1488" s="174" t="s">
        <v>1583</v>
      </c>
      <c r="E1488" s="174"/>
      <c r="F1488" s="72" t="s">
        <v>192</v>
      </c>
      <c r="G1488" s="90">
        <v>1892.7227399999999</v>
      </c>
      <c r="H1488" s="91"/>
      <c r="I1488" s="103">
        <v>21</v>
      </c>
      <c r="J1488" s="90">
        <f>ROUND(G1488*AO1488,2)</f>
        <v>0</v>
      </c>
      <c r="K1488" s="90">
        <f>ROUND(G1488*AP1488,2)</f>
        <v>0</v>
      </c>
      <c r="L1488" s="90">
        <f>ROUND(G1488*H1488,2)</f>
        <v>0</v>
      </c>
      <c r="M1488" s="90">
        <f>L1488*(1+BW1488/100)</f>
        <v>0</v>
      </c>
      <c r="N1488" s="90">
        <v>3.3E-4</v>
      </c>
      <c r="O1488" s="90">
        <f>G1488*N1488</f>
        <v>0.62459850419999996</v>
      </c>
      <c r="P1488" s="92" t="s">
        <v>64</v>
      </c>
      <c r="Z1488" s="93">
        <f>ROUND(IF(AQ1488="5",BJ1488,0),2)</f>
        <v>0</v>
      </c>
      <c r="AB1488" s="93">
        <f>ROUND(IF(AQ1488="1",BH1488,0),2)</f>
        <v>0</v>
      </c>
      <c r="AC1488" s="93">
        <f>ROUND(IF(AQ1488="1",BI1488,0),2)</f>
        <v>0</v>
      </c>
      <c r="AD1488" s="93">
        <f>ROUND(IF(AQ1488="7",BH1488,0),2)</f>
        <v>0</v>
      </c>
      <c r="AE1488" s="93">
        <f>ROUND(IF(AQ1488="7",BI1488,0),2)</f>
        <v>0</v>
      </c>
      <c r="AF1488" s="93">
        <f>ROUND(IF(AQ1488="2",BH1488,0),2)</f>
        <v>0</v>
      </c>
      <c r="AG1488" s="93">
        <f>ROUND(IF(AQ1488="2",BI1488,0),2)</f>
        <v>0</v>
      </c>
      <c r="AH1488" s="93">
        <f>ROUND(IF(AQ1488="0",BJ1488,0),2)</f>
        <v>0</v>
      </c>
      <c r="AI1488" s="88" t="s">
        <v>55</v>
      </c>
      <c r="AJ1488" s="93">
        <f>IF(AN1488=0,L1488,0)</f>
        <v>0</v>
      </c>
      <c r="AK1488" s="93">
        <f>IF(AN1488=12,L1488,0)</f>
        <v>0</v>
      </c>
      <c r="AL1488" s="93">
        <f>IF(AN1488=21,L1488,0)</f>
        <v>0</v>
      </c>
      <c r="AN1488" s="93">
        <v>21</v>
      </c>
      <c r="AO1488" s="93">
        <f>H1488*0.384709886</f>
        <v>0</v>
      </c>
      <c r="AP1488" s="93">
        <f>H1488*(1-0.384709886)</f>
        <v>0</v>
      </c>
      <c r="AQ1488" s="94" t="s">
        <v>148</v>
      </c>
      <c r="AV1488" s="93">
        <f>ROUND(AW1488+AX1488,2)</f>
        <v>0</v>
      </c>
      <c r="AW1488" s="93">
        <f>ROUND(G1488*AO1488,2)</f>
        <v>0</v>
      </c>
      <c r="AX1488" s="93">
        <f>ROUND(G1488*AP1488,2)</f>
        <v>0</v>
      </c>
      <c r="AY1488" s="94" t="s">
        <v>1525</v>
      </c>
      <c r="AZ1488" s="94" t="s">
        <v>1360</v>
      </c>
      <c r="BA1488" s="88" t="s">
        <v>67</v>
      </c>
      <c r="BC1488" s="93">
        <f>AW1488+AX1488</f>
        <v>0</v>
      </c>
      <c r="BD1488" s="93">
        <f>H1488/(100-BE1488)*100</f>
        <v>0</v>
      </c>
      <c r="BE1488" s="93">
        <v>0</v>
      </c>
      <c r="BF1488" s="93">
        <f>O1488</f>
        <v>0.62459850419999996</v>
      </c>
      <c r="BH1488" s="93">
        <f>G1488*AO1488</f>
        <v>0</v>
      </c>
      <c r="BI1488" s="93">
        <f>G1488*AP1488</f>
        <v>0</v>
      </c>
      <c r="BJ1488" s="93">
        <f>G1488*H1488</f>
        <v>0</v>
      </c>
      <c r="BK1488" s="93"/>
      <c r="BL1488" s="93">
        <v>713</v>
      </c>
      <c r="BW1488" s="93">
        <f>I1488</f>
        <v>21</v>
      </c>
      <c r="BX1488" s="2" t="s">
        <v>1583</v>
      </c>
    </row>
    <row r="1489" spans="1:76" s="81" customFormat="1" ht="25.5" x14ac:dyDescent="0.25">
      <c r="A1489" s="110"/>
      <c r="B1489" s="95"/>
      <c r="C1489" s="95"/>
      <c r="D1489" s="76" t="s">
        <v>54</v>
      </c>
      <c r="E1489" s="76" t="s">
        <v>1584</v>
      </c>
      <c r="F1489" s="95"/>
      <c r="G1489" s="96">
        <v>0</v>
      </c>
      <c r="H1489" s="97"/>
      <c r="I1489" s="95"/>
      <c r="J1489" s="95"/>
      <c r="K1489" s="95"/>
      <c r="L1489" s="95"/>
      <c r="M1489" s="95"/>
      <c r="N1489" s="95"/>
      <c r="O1489" s="95"/>
      <c r="P1489" s="95"/>
    </row>
    <row r="1490" spans="1:76" s="81" customFormat="1" x14ac:dyDescent="0.25">
      <c r="A1490" s="110"/>
      <c r="B1490" s="95"/>
      <c r="C1490" s="95"/>
      <c r="D1490" s="76" t="s">
        <v>1585</v>
      </c>
      <c r="E1490" s="76" t="s">
        <v>1586</v>
      </c>
      <c r="F1490" s="95"/>
      <c r="G1490" s="96">
        <v>1747.2827400000001</v>
      </c>
      <c r="H1490" s="97"/>
      <c r="I1490" s="95"/>
      <c r="J1490" s="95"/>
      <c r="K1490" s="95"/>
      <c r="L1490" s="95"/>
      <c r="M1490" s="95"/>
      <c r="N1490" s="95"/>
      <c r="O1490" s="95"/>
      <c r="P1490" s="95"/>
    </row>
    <row r="1491" spans="1:76" s="81" customFormat="1" x14ac:dyDescent="0.25">
      <c r="A1491" s="110"/>
      <c r="B1491" s="95"/>
      <c r="C1491" s="95"/>
      <c r="D1491" s="76" t="s">
        <v>1587</v>
      </c>
      <c r="E1491" s="76" t="s">
        <v>1216</v>
      </c>
      <c r="F1491" s="95"/>
      <c r="G1491" s="96">
        <v>145.44</v>
      </c>
      <c r="H1491" s="97"/>
      <c r="I1491" s="95"/>
      <c r="J1491" s="95"/>
      <c r="K1491" s="95"/>
      <c r="L1491" s="95"/>
      <c r="M1491" s="95"/>
      <c r="N1491" s="95"/>
      <c r="O1491" s="95"/>
      <c r="P1491" s="95"/>
    </row>
    <row r="1492" spans="1:76" s="81" customFormat="1" ht="25.5" x14ac:dyDescent="0.25">
      <c r="A1492" s="66" t="s">
        <v>1593</v>
      </c>
      <c r="B1492" s="72" t="s">
        <v>55</v>
      </c>
      <c r="C1492" s="72" t="s">
        <v>1589</v>
      </c>
      <c r="D1492" s="174" t="s">
        <v>1590</v>
      </c>
      <c r="E1492" s="174"/>
      <c r="F1492" s="72" t="s">
        <v>62</v>
      </c>
      <c r="G1492" s="90">
        <v>85.392489999999995</v>
      </c>
      <c r="H1492" s="91"/>
      <c r="I1492" s="103">
        <v>21</v>
      </c>
      <c r="J1492" s="90">
        <f>ROUND(G1492*AO1492,2)</f>
        <v>0</v>
      </c>
      <c r="K1492" s="90">
        <f>ROUND(G1492*AP1492,2)</f>
        <v>0</v>
      </c>
      <c r="L1492" s="90">
        <f>ROUND(G1492*H1492,2)</f>
        <v>0</v>
      </c>
      <c r="M1492" s="90">
        <f>L1492*(1+BW1492/100)</f>
        <v>0</v>
      </c>
      <c r="N1492" s="90">
        <v>2.5000000000000001E-2</v>
      </c>
      <c r="O1492" s="90">
        <f>G1492*N1492</f>
        <v>2.13481225</v>
      </c>
      <c r="P1492" s="92" t="s">
        <v>64</v>
      </c>
      <c r="Z1492" s="93">
        <f>ROUND(IF(AQ1492="5",BJ1492,0),2)</f>
        <v>0</v>
      </c>
      <c r="AB1492" s="93">
        <f>ROUND(IF(AQ1492="1",BH1492,0),2)</f>
        <v>0</v>
      </c>
      <c r="AC1492" s="93">
        <f>ROUND(IF(AQ1492="1",BI1492,0),2)</f>
        <v>0</v>
      </c>
      <c r="AD1492" s="93">
        <f>ROUND(IF(AQ1492="7",BH1492,0),2)</f>
        <v>0</v>
      </c>
      <c r="AE1492" s="93">
        <f>ROUND(IF(AQ1492="7",BI1492,0),2)</f>
        <v>0</v>
      </c>
      <c r="AF1492" s="93">
        <f>ROUND(IF(AQ1492="2",BH1492,0),2)</f>
        <v>0</v>
      </c>
      <c r="AG1492" s="93">
        <f>ROUND(IF(AQ1492="2",BI1492,0),2)</f>
        <v>0</v>
      </c>
      <c r="AH1492" s="93">
        <f>ROUND(IF(AQ1492="0",BJ1492,0),2)</f>
        <v>0</v>
      </c>
      <c r="AI1492" s="88" t="s">
        <v>55</v>
      </c>
      <c r="AJ1492" s="93">
        <f>IF(AN1492=0,L1492,0)</f>
        <v>0</v>
      </c>
      <c r="AK1492" s="93">
        <f>IF(AN1492=12,L1492,0)</f>
        <v>0</v>
      </c>
      <c r="AL1492" s="93">
        <f>IF(AN1492=21,L1492,0)</f>
        <v>0</v>
      </c>
      <c r="AN1492" s="93">
        <v>21</v>
      </c>
      <c r="AO1492" s="93">
        <f>H1492*1</f>
        <v>0</v>
      </c>
      <c r="AP1492" s="93">
        <f>H1492*(1-1)</f>
        <v>0</v>
      </c>
      <c r="AQ1492" s="94" t="s">
        <v>148</v>
      </c>
      <c r="AV1492" s="93">
        <f>ROUND(AW1492+AX1492,2)</f>
        <v>0</v>
      </c>
      <c r="AW1492" s="93">
        <f>ROUND(G1492*AO1492,2)</f>
        <v>0</v>
      </c>
      <c r="AX1492" s="93">
        <f>ROUND(G1492*AP1492,2)</f>
        <v>0</v>
      </c>
      <c r="AY1492" s="94" t="s">
        <v>1525</v>
      </c>
      <c r="AZ1492" s="94" t="s">
        <v>1360</v>
      </c>
      <c r="BA1492" s="88" t="s">
        <v>67</v>
      </c>
      <c r="BC1492" s="93">
        <f>AW1492+AX1492</f>
        <v>0</v>
      </c>
      <c r="BD1492" s="93">
        <f>H1492/(100-BE1492)*100</f>
        <v>0</v>
      </c>
      <c r="BE1492" s="93">
        <v>0</v>
      </c>
      <c r="BF1492" s="93">
        <f>O1492</f>
        <v>2.13481225</v>
      </c>
      <c r="BH1492" s="93">
        <f>G1492*AO1492</f>
        <v>0</v>
      </c>
      <c r="BI1492" s="93">
        <f>G1492*AP1492</f>
        <v>0</v>
      </c>
      <c r="BJ1492" s="93">
        <f>G1492*H1492</f>
        <v>0</v>
      </c>
      <c r="BK1492" s="93"/>
      <c r="BL1492" s="93">
        <v>713</v>
      </c>
      <c r="BW1492" s="93">
        <f>I1492</f>
        <v>21</v>
      </c>
      <c r="BX1492" s="2" t="s">
        <v>1590</v>
      </c>
    </row>
    <row r="1493" spans="1:76" s="81" customFormat="1" x14ac:dyDescent="0.25">
      <c r="A1493" s="110"/>
      <c r="B1493" s="95"/>
      <c r="C1493" s="95"/>
      <c r="D1493" s="76" t="s">
        <v>54</v>
      </c>
      <c r="E1493" s="76" t="s">
        <v>1586</v>
      </c>
      <c r="F1493" s="95"/>
      <c r="G1493" s="96">
        <v>0</v>
      </c>
      <c r="H1493" s="97"/>
      <c r="I1493" s="95"/>
      <c r="J1493" s="95"/>
      <c r="K1493" s="95"/>
      <c r="L1493" s="95"/>
      <c r="M1493" s="95"/>
      <c r="N1493" s="95"/>
      <c r="O1493" s="95"/>
      <c r="P1493" s="95"/>
    </row>
    <row r="1494" spans="1:76" s="81" customFormat="1" x14ac:dyDescent="0.25">
      <c r="A1494" s="110"/>
      <c r="B1494" s="95"/>
      <c r="C1494" s="95"/>
      <c r="D1494" s="76" t="s">
        <v>54</v>
      </c>
      <c r="E1494" s="76" t="s">
        <v>1216</v>
      </c>
      <c r="F1494" s="95"/>
      <c r="G1494" s="96">
        <v>0</v>
      </c>
      <c r="H1494" s="97"/>
      <c r="I1494" s="95"/>
      <c r="J1494" s="95"/>
      <c r="K1494" s="95"/>
      <c r="L1494" s="95"/>
      <c r="M1494" s="95"/>
      <c r="N1494" s="95"/>
      <c r="O1494" s="95"/>
      <c r="P1494" s="95"/>
    </row>
    <row r="1495" spans="1:76" s="81" customFormat="1" x14ac:dyDescent="0.25">
      <c r="A1495" s="110"/>
      <c r="B1495" s="95"/>
      <c r="C1495" s="95"/>
      <c r="D1495" s="76" t="s">
        <v>1591</v>
      </c>
      <c r="E1495" s="76" t="s">
        <v>54</v>
      </c>
      <c r="F1495" s="95"/>
      <c r="G1495" s="96">
        <v>5.1922100000000002</v>
      </c>
      <c r="H1495" s="97"/>
      <c r="I1495" s="95"/>
      <c r="J1495" s="95"/>
      <c r="K1495" s="95"/>
      <c r="L1495" s="95"/>
      <c r="M1495" s="95"/>
      <c r="N1495" s="95"/>
      <c r="O1495" s="95"/>
      <c r="P1495" s="95"/>
    </row>
    <row r="1496" spans="1:76" s="81" customFormat="1" x14ac:dyDescent="0.25">
      <c r="A1496" s="110"/>
      <c r="B1496" s="95"/>
      <c r="C1496" s="95"/>
      <c r="D1496" s="76" t="s">
        <v>1592</v>
      </c>
      <c r="E1496" s="76" t="s">
        <v>54</v>
      </c>
      <c r="F1496" s="95"/>
      <c r="G1496" s="96">
        <v>80.200280000000006</v>
      </c>
      <c r="H1496" s="97"/>
      <c r="I1496" s="95"/>
      <c r="J1496" s="95"/>
      <c r="K1496" s="95"/>
      <c r="L1496" s="95"/>
      <c r="M1496" s="95"/>
      <c r="N1496" s="95"/>
      <c r="O1496" s="95"/>
      <c r="P1496" s="95"/>
    </row>
    <row r="1497" spans="1:76" s="81" customFormat="1" ht="25.5" x14ac:dyDescent="0.25">
      <c r="A1497" s="66" t="s">
        <v>1599</v>
      </c>
      <c r="B1497" s="72" t="s">
        <v>55</v>
      </c>
      <c r="C1497" s="72" t="s">
        <v>1594</v>
      </c>
      <c r="D1497" s="174" t="s">
        <v>1595</v>
      </c>
      <c r="E1497" s="174"/>
      <c r="F1497" s="72" t="s">
        <v>192</v>
      </c>
      <c r="G1497" s="90">
        <v>140.7235</v>
      </c>
      <c r="H1497" s="91"/>
      <c r="I1497" s="103">
        <v>21</v>
      </c>
      <c r="J1497" s="90">
        <f>ROUND(G1497*AO1497,2)</f>
        <v>0</v>
      </c>
      <c r="K1497" s="90">
        <f>ROUND(G1497*AP1497,2)</f>
        <v>0</v>
      </c>
      <c r="L1497" s="90">
        <f>ROUND(G1497*H1497,2)</f>
        <v>0</v>
      </c>
      <c r="M1497" s="90">
        <f>L1497*(1+BW1497/100)</f>
        <v>0</v>
      </c>
      <c r="N1497" s="90">
        <v>6.4900000000000001E-3</v>
      </c>
      <c r="O1497" s="90">
        <f>G1497*N1497</f>
        <v>0.91329551500000006</v>
      </c>
      <c r="P1497" s="92" t="s">
        <v>64</v>
      </c>
      <c r="Z1497" s="93">
        <f>ROUND(IF(AQ1497="5",BJ1497,0),2)</f>
        <v>0</v>
      </c>
      <c r="AB1497" s="93">
        <f>ROUND(IF(AQ1497="1",BH1497,0),2)</f>
        <v>0</v>
      </c>
      <c r="AC1497" s="93">
        <f>ROUND(IF(AQ1497="1",BI1497,0),2)</f>
        <v>0</v>
      </c>
      <c r="AD1497" s="93">
        <f>ROUND(IF(AQ1497="7",BH1497,0),2)</f>
        <v>0</v>
      </c>
      <c r="AE1497" s="93">
        <f>ROUND(IF(AQ1497="7",BI1497,0),2)</f>
        <v>0</v>
      </c>
      <c r="AF1497" s="93">
        <f>ROUND(IF(AQ1497="2",BH1497,0),2)</f>
        <v>0</v>
      </c>
      <c r="AG1497" s="93">
        <f>ROUND(IF(AQ1497="2",BI1497,0),2)</f>
        <v>0</v>
      </c>
      <c r="AH1497" s="93">
        <f>ROUND(IF(AQ1497="0",BJ1497,0),2)</f>
        <v>0</v>
      </c>
      <c r="AI1497" s="88" t="s">
        <v>55</v>
      </c>
      <c r="AJ1497" s="93">
        <f>IF(AN1497=0,L1497,0)</f>
        <v>0</v>
      </c>
      <c r="AK1497" s="93">
        <f>IF(AN1497=12,L1497,0)</f>
        <v>0</v>
      </c>
      <c r="AL1497" s="93">
        <f>IF(AN1497=21,L1497,0)</f>
        <v>0</v>
      </c>
      <c r="AN1497" s="93">
        <v>21</v>
      </c>
      <c r="AO1497" s="93">
        <f>H1497*0.831452941</f>
        <v>0</v>
      </c>
      <c r="AP1497" s="93">
        <f>H1497*(1-0.831452941)</f>
        <v>0</v>
      </c>
      <c r="AQ1497" s="94" t="s">
        <v>148</v>
      </c>
      <c r="AV1497" s="93">
        <f>ROUND(AW1497+AX1497,2)</f>
        <v>0</v>
      </c>
      <c r="AW1497" s="93">
        <f>ROUND(G1497*AO1497,2)</f>
        <v>0</v>
      </c>
      <c r="AX1497" s="93">
        <f>ROUND(G1497*AP1497,2)</f>
        <v>0</v>
      </c>
      <c r="AY1497" s="94" t="s">
        <v>1525</v>
      </c>
      <c r="AZ1497" s="94" t="s">
        <v>1360</v>
      </c>
      <c r="BA1497" s="88" t="s">
        <v>67</v>
      </c>
      <c r="BC1497" s="93">
        <f>AW1497+AX1497</f>
        <v>0</v>
      </c>
      <c r="BD1497" s="93">
        <f>H1497/(100-BE1497)*100</f>
        <v>0</v>
      </c>
      <c r="BE1497" s="93">
        <v>0</v>
      </c>
      <c r="BF1497" s="93">
        <f>O1497</f>
        <v>0.91329551500000006</v>
      </c>
      <c r="BH1497" s="93">
        <f>G1497*AO1497</f>
        <v>0</v>
      </c>
      <c r="BI1497" s="93">
        <f>G1497*AP1497</f>
        <v>0</v>
      </c>
      <c r="BJ1497" s="93">
        <f>G1497*H1497</f>
        <v>0</v>
      </c>
      <c r="BK1497" s="93"/>
      <c r="BL1497" s="93">
        <v>713</v>
      </c>
      <c r="BW1497" s="93">
        <f>I1497</f>
        <v>21</v>
      </c>
      <c r="BX1497" s="2" t="s">
        <v>1595</v>
      </c>
    </row>
    <row r="1498" spans="1:76" s="81" customFormat="1" ht="13.5" customHeight="1" x14ac:dyDescent="0.25">
      <c r="A1498" s="110"/>
      <c r="B1498" s="95"/>
      <c r="C1498" s="95"/>
      <c r="D1498" s="179" t="s">
        <v>1596</v>
      </c>
      <c r="E1498" s="179"/>
      <c r="F1498" s="179"/>
      <c r="G1498" s="179"/>
      <c r="H1498" s="179"/>
      <c r="I1498" s="179"/>
      <c r="J1498" s="179"/>
      <c r="K1498" s="179"/>
      <c r="L1498" s="179"/>
      <c r="M1498" s="179"/>
      <c r="N1498" s="179"/>
      <c r="O1498" s="179"/>
      <c r="P1498" s="179"/>
    </row>
    <row r="1499" spans="1:76" s="81" customFormat="1" x14ac:dyDescent="0.25">
      <c r="A1499" s="110"/>
      <c r="B1499" s="95"/>
      <c r="C1499" s="95"/>
      <c r="D1499" s="76" t="s">
        <v>54</v>
      </c>
      <c r="E1499" s="76" t="s">
        <v>831</v>
      </c>
      <c r="F1499" s="95"/>
      <c r="G1499" s="96">
        <v>0</v>
      </c>
      <c r="H1499" s="97"/>
      <c r="I1499" s="95"/>
      <c r="J1499" s="95"/>
      <c r="K1499" s="95"/>
      <c r="L1499" s="95"/>
      <c r="M1499" s="95"/>
      <c r="N1499" s="95"/>
      <c r="O1499" s="95"/>
      <c r="P1499" s="95"/>
    </row>
    <row r="1500" spans="1:76" s="81" customFormat="1" x14ac:dyDescent="0.25">
      <c r="A1500" s="110"/>
      <c r="B1500" s="95"/>
      <c r="C1500" s="95"/>
      <c r="D1500" s="76" t="s">
        <v>54</v>
      </c>
      <c r="E1500" s="76" t="s">
        <v>832</v>
      </c>
      <c r="F1500" s="95"/>
      <c r="G1500" s="96">
        <v>0</v>
      </c>
      <c r="H1500" s="97"/>
      <c r="I1500" s="95"/>
      <c r="J1500" s="95"/>
      <c r="K1500" s="95"/>
      <c r="L1500" s="95"/>
      <c r="M1500" s="95"/>
      <c r="N1500" s="95"/>
      <c r="O1500" s="95"/>
      <c r="P1500" s="95"/>
    </row>
    <row r="1501" spans="1:76" s="81" customFormat="1" x14ac:dyDescent="0.25">
      <c r="A1501" s="110"/>
      <c r="B1501" s="95"/>
      <c r="C1501" s="95"/>
      <c r="D1501" s="76" t="s">
        <v>1496</v>
      </c>
      <c r="E1501" s="76" t="s">
        <v>54</v>
      </c>
      <c r="F1501" s="95"/>
      <c r="G1501" s="96">
        <v>16.266749999999998</v>
      </c>
      <c r="H1501" s="97"/>
      <c r="I1501" s="95"/>
      <c r="J1501" s="95"/>
      <c r="K1501" s="95"/>
      <c r="L1501" s="95"/>
      <c r="M1501" s="95"/>
      <c r="N1501" s="95"/>
      <c r="O1501" s="95"/>
      <c r="P1501" s="95"/>
    </row>
    <row r="1502" spans="1:76" s="81" customFormat="1" x14ac:dyDescent="0.25">
      <c r="A1502" s="110"/>
      <c r="B1502" s="95"/>
      <c r="C1502" s="95"/>
      <c r="D1502" s="76" t="s">
        <v>1597</v>
      </c>
      <c r="E1502" s="76" t="s">
        <v>54</v>
      </c>
      <c r="F1502" s="95"/>
      <c r="G1502" s="96">
        <v>104.367</v>
      </c>
      <c r="H1502" s="97"/>
      <c r="I1502" s="95"/>
      <c r="J1502" s="95"/>
      <c r="K1502" s="95"/>
      <c r="L1502" s="95"/>
      <c r="M1502" s="95"/>
      <c r="N1502" s="95"/>
      <c r="O1502" s="95"/>
      <c r="P1502" s="95"/>
    </row>
    <row r="1503" spans="1:76" s="81" customFormat="1" x14ac:dyDescent="0.25">
      <c r="A1503" s="110"/>
      <c r="B1503" s="95"/>
      <c r="C1503" s="95"/>
      <c r="D1503" s="76" t="s">
        <v>54</v>
      </c>
      <c r="E1503" s="76" t="s">
        <v>837</v>
      </c>
      <c r="F1503" s="95"/>
      <c r="G1503" s="96">
        <v>0</v>
      </c>
      <c r="H1503" s="97"/>
      <c r="I1503" s="95"/>
      <c r="J1503" s="95"/>
      <c r="K1503" s="95"/>
      <c r="L1503" s="95"/>
      <c r="M1503" s="95"/>
      <c r="N1503" s="95"/>
      <c r="O1503" s="95"/>
      <c r="P1503" s="95"/>
    </row>
    <row r="1504" spans="1:76" s="81" customFormat="1" x14ac:dyDescent="0.25">
      <c r="A1504" s="110"/>
      <c r="B1504" s="95"/>
      <c r="C1504" s="95"/>
      <c r="D1504" s="76" t="s">
        <v>1598</v>
      </c>
      <c r="E1504" s="76" t="s">
        <v>54</v>
      </c>
      <c r="F1504" s="95"/>
      <c r="G1504" s="96">
        <v>20.089749999999999</v>
      </c>
      <c r="H1504" s="97"/>
      <c r="I1504" s="95"/>
      <c r="J1504" s="95"/>
      <c r="K1504" s="95"/>
      <c r="L1504" s="95"/>
      <c r="M1504" s="95"/>
      <c r="N1504" s="95"/>
      <c r="O1504" s="95"/>
      <c r="P1504" s="95"/>
    </row>
    <row r="1505" spans="1:76" s="81" customFormat="1" ht="25.5" x14ac:dyDescent="0.25">
      <c r="A1505" s="66" t="s">
        <v>1607</v>
      </c>
      <c r="B1505" s="72" t="s">
        <v>55</v>
      </c>
      <c r="C1505" s="72" t="s">
        <v>1523</v>
      </c>
      <c r="D1505" s="174" t="s">
        <v>1600</v>
      </c>
      <c r="E1505" s="174"/>
      <c r="F1505" s="72" t="s">
        <v>192</v>
      </c>
      <c r="G1505" s="90">
        <v>318.52846</v>
      </c>
      <c r="H1505" s="91"/>
      <c r="I1505" s="103">
        <v>21</v>
      </c>
      <c r="J1505" s="90">
        <f>ROUND(G1505*AO1505,2)</f>
        <v>0</v>
      </c>
      <c r="K1505" s="90">
        <f>ROUND(G1505*AP1505,2)</f>
        <v>0</v>
      </c>
      <c r="L1505" s="90">
        <f>ROUND(G1505*H1505,2)</f>
        <v>0</v>
      </c>
      <c r="M1505" s="90">
        <f>L1505*(1+BW1505/100)</f>
        <v>0</v>
      </c>
      <c r="N1505" s="90">
        <v>3.0000000000000001E-3</v>
      </c>
      <c r="O1505" s="90">
        <f>G1505*N1505</f>
        <v>0.95558538000000004</v>
      </c>
      <c r="P1505" s="92" t="s">
        <v>64</v>
      </c>
      <c r="Z1505" s="93">
        <f>ROUND(IF(AQ1505="5",BJ1505,0),2)</f>
        <v>0</v>
      </c>
      <c r="AB1505" s="93">
        <f>ROUND(IF(AQ1505="1",BH1505,0),2)</f>
        <v>0</v>
      </c>
      <c r="AC1505" s="93">
        <f>ROUND(IF(AQ1505="1",BI1505,0),2)</f>
        <v>0</v>
      </c>
      <c r="AD1505" s="93">
        <f>ROUND(IF(AQ1505="7",BH1505,0),2)</f>
        <v>0</v>
      </c>
      <c r="AE1505" s="93">
        <f>ROUND(IF(AQ1505="7",BI1505,0),2)</f>
        <v>0</v>
      </c>
      <c r="AF1505" s="93">
        <f>ROUND(IF(AQ1505="2",BH1505,0),2)</f>
        <v>0</v>
      </c>
      <c r="AG1505" s="93">
        <f>ROUND(IF(AQ1505="2",BI1505,0),2)</f>
        <v>0</v>
      </c>
      <c r="AH1505" s="93">
        <f>ROUND(IF(AQ1505="0",BJ1505,0),2)</f>
        <v>0</v>
      </c>
      <c r="AI1505" s="88" t="s">
        <v>55</v>
      </c>
      <c r="AJ1505" s="93">
        <f>IF(AN1505=0,L1505,0)</f>
        <v>0</v>
      </c>
      <c r="AK1505" s="93">
        <f>IF(AN1505=12,L1505,0)</f>
        <v>0</v>
      </c>
      <c r="AL1505" s="93">
        <f>IF(AN1505=21,L1505,0)</f>
        <v>0</v>
      </c>
      <c r="AN1505" s="93">
        <v>21</v>
      </c>
      <c r="AO1505" s="93">
        <f>H1505*0.241538463</f>
        <v>0</v>
      </c>
      <c r="AP1505" s="93">
        <f>H1505*(1-0.241538463)</f>
        <v>0</v>
      </c>
      <c r="AQ1505" s="94" t="s">
        <v>148</v>
      </c>
      <c r="AV1505" s="93">
        <f>ROUND(AW1505+AX1505,2)</f>
        <v>0</v>
      </c>
      <c r="AW1505" s="93">
        <f>ROUND(G1505*AO1505,2)</f>
        <v>0</v>
      </c>
      <c r="AX1505" s="93">
        <f>ROUND(G1505*AP1505,2)</f>
        <v>0</v>
      </c>
      <c r="AY1505" s="94" t="s">
        <v>1525</v>
      </c>
      <c r="AZ1505" s="94" t="s">
        <v>1360</v>
      </c>
      <c r="BA1505" s="88" t="s">
        <v>67</v>
      </c>
      <c r="BC1505" s="93">
        <f>AW1505+AX1505</f>
        <v>0</v>
      </c>
      <c r="BD1505" s="93">
        <f>H1505/(100-BE1505)*100</f>
        <v>0</v>
      </c>
      <c r="BE1505" s="93">
        <v>0</v>
      </c>
      <c r="BF1505" s="93">
        <f>O1505</f>
        <v>0.95558538000000004</v>
      </c>
      <c r="BH1505" s="93">
        <f>G1505*AO1505</f>
        <v>0</v>
      </c>
      <c r="BI1505" s="93">
        <f>G1505*AP1505</f>
        <v>0</v>
      </c>
      <c r="BJ1505" s="93">
        <f>G1505*H1505</f>
        <v>0</v>
      </c>
      <c r="BK1505" s="93"/>
      <c r="BL1505" s="93">
        <v>713</v>
      </c>
      <c r="BW1505" s="93">
        <f>I1505</f>
        <v>21</v>
      </c>
      <c r="BX1505" s="2" t="s">
        <v>1600</v>
      </c>
    </row>
    <row r="1506" spans="1:76" s="81" customFormat="1" ht="25.5" x14ac:dyDescent="0.25">
      <c r="A1506" s="110"/>
      <c r="B1506" s="95"/>
      <c r="C1506" s="95"/>
      <c r="D1506" s="76" t="s">
        <v>54</v>
      </c>
      <c r="E1506" s="76" t="s">
        <v>1601</v>
      </c>
      <c r="F1506" s="95"/>
      <c r="G1506" s="96">
        <v>0</v>
      </c>
      <c r="H1506" s="97"/>
      <c r="I1506" s="95"/>
      <c r="J1506" s="95"/>
      <c r="K1506" s="95"/>
      <c r="L1506" s="95"/>
      <c r="M1506" s="95"/>
      <c r="N1506" s="95"/>
      <c r="O1506" s="95"/>
      <c r="P1506" s="95"/>
    </row>
    <row r="1507" spans="1:76" s="81" customFormat="1" x14ac:dyDescent="0.25">
      <c r="A1507" s="110"/>
      <c r="B1507" s="95"/>
      <c r="C1507" s="95"/>
      <c r="D1507" s="76" t="s">
        <v>54</v>
      </c>
      <c r="E1507" s="76" t="s">
        <v>1602</v>
      </c>
      <c r="F1507" s="95"/>
      <c r="G1507" s="96">
        <v>0</v>
      </c>
      <c r="H1507" s="97"/>
      <c r="I1507" s="95"/>
      <c r="J1507" s="95"/>
      <c r="K1507" s="95"/>
      <c r="L1507" s="95"/>
      <c r="M1507" s="95"/>
      <c r="N1507" s="95"/>
      <c r="O1507" s="95"/>
      <c r="P1507" s="95"/>
    </row>
    <row r="1508" spans="1:76" s="81" customFormat="1" x14ac:dyDescent="0.25">
      <c r="A1508" s="110"/>
      <c r="B1508" s="95"/>
      <c r="C1508" s="95"/>
      <c r="D1508" s="76" t="s">
        <v>1495</v>
      </c>
      <c r="E1508" s="76" t="s">
        <v>54</v>
      </c>
      <c r="F1508" s="95"/>
      <c r="G1508" s="96">
        <v>15.76155</v>
      </c>
      <c r="H1508" s="97"/>
      <c r="I1508" s="95"/>
      <c r="J1508" s="95"/>
      <c r="K1508" s="95"/>
      <c r="L1508" s="95"/>
      <c r="M1508" s="95"/>
      <c r="N1508" s="95"/>
      <c r="O1508" s="95"/>
      <c r="P1508" s="95"/>
    </row>
    <row r="1509" spans="1:76" s="81" customFormat="1" x14ac:dyDescent="0.25">
      <c r="A1509" s="110"/>
      <c r="B1509" s="95"/>
      <c r="C1509" s="95"/>
      <c r="D1509" s="76" t="s">
        <v>1603</v>
      </c>
      <c r="E1509" s="76" t="s">
        <v>54</v>
      </c>
      <c r="F1509" s="95"/>
      <c r="G1509" s="96">
        <v>230.3</v>
      </c>
      <c r="H1509" s="97"/>
      <c r="I1509" s="95"/>
      <c r="J1509" s="95"/>
      <c r="K1509" s="95"/>
      <c r="L1509" s="95"/>
      <c r="M1509" s="95"/>
      <c r="N1509" s="95"/>
      <c r="O1509" s="95"/>
      <c r="P1509" s="95"/>
    </row>
    <row r="1510" spans="1:76" s="81" customFormat="1" x14ac:dyDescent="0.25">
      <c r="A1510" s="110"/>
      <c r="B1510" s="95"/>
      <c r="C1510" s="95"/>
      <c r="D1510" s="76" t="s">
        <v>54</v>
      </c>
      <c r="E1510" s="76" t="s">
        <v>1604</v>
      </c>
      <c r="F1510" s="95"/>
      <c r="G1510" s="96">
        <v>0</v>
      </c>
      <c r="H1510" s="97"/>
      <c r="I1510" s="95"/>
      <c r="J1510" s="95"/>
      <c r="K1510" s="95"/>
      <c r="L1510" s="95"/>
      <c r="M1510" s="95"/>
      <c r="N1510" s="95"/>
      <c r="O1510" s="95"/>
      <c r="P1510" s="95"/>
    </row>
    <row r="1511" spans="1:76" s="81" customFormat="1" x14ac:dyDescent="0.25">
      <c r="A1511" s="110"/>
      <c r="B1511" s="95"/>
      <c r="C1511" s="95"/>
      <c r="D1511" s="76" t="s">
        <v>1498</v>
      </c>
      <c r="E1511" s="76" t="s">
        <v>54</v>
      </c>
      <c r="F1511" s="95"/>
      <c r="G1511" s="96">
        <v>3.7821699999999998</v>
      </c>
      <c r="H1511" s="97"/>
      <c r="I1511" s="95"/>
      <c r="J1511" s="95"/>
      <c r="K1511" s="95"/>
      <c r="L1511" s="95"/>
      <c r="M1511" s="95"/>
      <c r="N1511" s="95"/>
      <c r="O1511" s="95"/>
      <c r="P1511" s="95"/>
    </row>
    <row r="1512" spans="1:76" s="81" customFormat="1" x14ac:dyDescent="0.25">
      <c r="A1512" s="110"/>
      <c r="B1512" s="95"/>
      <c r="C1512" s="95"/>
      <c r="D1512" s="76" t="s">
        <v>1499</v>
      </c>
      <c r="E1512" s="76" t="s">
        <v>54</v>
      </c>
      <c r="F1512" s="95"/>
      <c r="G1512" s="96">
        <v>1.34592</v>
      </c>
      <c r="H1512" s="97"/>
      <c r="I1512" s="95"/>
      <c r="J1512" s="95"/>
      <c r="K1512" s="95"/>
      <c r="L1512" s="95"/>
      <c r="M1512" s="95"/>
      <c r="N1512" s="95"/>
      <c r="O1512" s="95"/>
      <c r="P1512" s="95"/>
    </row>
    <row r="1513" spans="1:76" s="81" customFormat="1" x14ac:dyDescent="0.25">
      <c r="A1513" s="110"/>
      <c r="B1513" s="95"/>
      <c r="C1513" s="95"/>
      <c r="D1513" s="76" t="s">
        <v>1605</v>
      </c>
      <c r="E1513" s="76" t="s">
        <v>54</v>
      </c>
      <c r="F1513" s="95"/>
      <c r="G1513" s="96">
        <v>36.741250000000001</v>
      </c>
      <c r="H1513" s="97"/>
      <c r="I1513" s="95"/>
      <c r="J1513" s="95"/>
      <c r="K1513" s="95"/>
      <c r="L1513" s="95"/>
      <c r="M1513" s="95"/>
      <c r="N1513" s="95"/>
      <c r="O1513" s="95"/>
      <c r="P1513" s="95"/>
    </row>
    <row r="1514" spans="1:76" s="81" customFormat="1" x14ac:dyDescent="0.25">
      <c r="A1514" s="110"/>
      <c r="B1514" s="95"/>
      <c r="C1514" s="95"/>
      <c r="D1514" s="76" t="s">
        <v>54</v>
      </c>
      <c r="E1514" s="76" t="s">
        <v>1606</v>
      </c>
      <c r="F1514" s="95"/>
      <c r="G1514" s="96">
        <v>0</v>
      </c>
      <c r="H1514" s="97"/>
      <c r="I1514" s="95"/>
      <c r="J1514" s="95"/>
      <c r="K1514" s="95"/>
      <c r="L1514" s="95"/>
      <c r="M1514" s="95"/>
      <c r="N1514" s="95"/>
      <c r="O1514" s="95"/>
      <c r="P1514" s="95"/>
    </row>
    <row r="1515" spans="1:76" s="81" customFormat="1" x14ac:dyDescent="0.25">
      <c r="A1515" s="110"/>
      <c r="B1515" s="95"/>
      <c r="C1515" s="95"/>
      <c r="D1515" s="76" t="s">
        <v>1497</v>
      </c>
      <c r="E1515" s="76" t="s">
        <v>54</v>
      </c>
      <c r="F1515" s="95"/>
      <c r="G1515" s="96">
        <v>21.979649999999999</v>
      </c>
      <c r="H1515" s="97"/>
      <c r="I1515" s="95"/>
      <c r="J1515" s="95"/>
      <c r="K1515" s="95"/>
      <c r="L1515" s="95"/>
      <c r="M1515" s="95"/>
      <c r="N1515" s="95"/>
      <c r="O1515" s="95"/>
      <c r="P1515" s="95"/>
    </row>
    <row r="1516" spans="1:76" s="81" customFormat="1" x14ac:dyDescent="0.25">
      <c r="A1516" s="110"/>
      <c r="B1516" s="95"/>
      <c r="C1516" s="95"/>
      <c r="D1516" s="76" t="s">
        <v>1504</v>
      </c>
      <c r="E1516" s="76" t="s">
        <v>54</v>
      </c>
      <c r="F1516" s="95"/>
      <c r="G1516" s="96">
        <v>8.6179199999999998</v>
      </c>
      <c r="H1516" s="97"/>
      <c r="I1516" s="95"/>
      <c r="J1516" s="95"/>
      <c r="K1516" s="95"/>
      <c r="L1516" s="95"/>
      <c r="M1516" s="95"/>
      <c r="N1516" s="95"/>
      <c r="O1516" s="95"/>
      <c r="P1516" s="95"/>
    </row>
    <row r="1517" spans="1:76" s="81" customFormat="1" ht="25.5" x14ac:dyDescent="0.25">
      <c r="A1517" s="66" t="s">
        <v>1617</v>
      </c>
      <c r="B1517" s="72" t="s">
        <v>55</v>
      </c>
      <c r="C1517" s="72" t="s">
        <v>1608</v>
      </c>
      <c r="D1517" s="174" t="s">
        <v>1609</v>
      </c>
      <c r="E1517" s="174"/>
      <c r="F1517" s="72" t="s">
        <v>62</v>
      </c>
      <c r="G1517" s="90">
        <v>38.725119999999997</v>
      </c>
      <c r="H1517" s="91"/>
      <c r="I1517" s="103">
        <v>21</v>
      </c>
      <c r="J1517" s="90">
        <f>ROUND(G1517*AO1517,2)</f>
        <v>0</v>
      </c>
      <c r="K1517" s="90">
        <f>ROUND(G1517*AP1517,2)</f>
        <v>0</v>
      </c>
      <c r="L1517" s="90">
        <f>ROUND(G1517*H1517,2)</f>
        <v>0</v>
      </c>
      <c r="M1517" s="90">
        <f>L1517*(1+BW1517/100)</f>
        <v>0</v>
      </c>
      <c r="N1517" s="90">
        <v>3.5000000000000003E-2</v>
      </c>
      <c r="O1517" s="90">
        <f>G1517*N1517</f>
        <v>1.3553792</v>
      </c>
      <c r="P1517" s="92" t="s">
        <v>64</v>
      </c>
      <c r="Z1517" s="93">
        <f>ROUND(IF(AQ1517="5",BJ1517,0),2)</f>
        <v>0</v>
      </c>
      <c r="AB1517" s="93">
        <f>ROUND(IF(AQ1517="1",BH1517,0),2)</f>
        <v>0</v>
      </c>
      <c r="AC1517" s="93">
        <f>ROUND(IF(AQ1517="1",BI1517,0),2)</f>
        <v>0</v>
      </c>
      <c r="AD1517" s="93">
        <f>ROUND(IF(AQ1517="7",BH1517,0),2)</f>
        <v>0</v>
      </c>
      <c r="AE1517" s="93">
        <f>ROUND(IF(AQ1517="7",BI1517,0),2)</f>
        <v>0</v>
      </c>
      <c r="AF1517" s="93">
        <f>ROUND(IF(AQ1517="2",BH1517,0),2)</f>
        <v>0</v>
      </c>
      <c r="AG1517" s="93">
        <f>ROUND(IF(AQ1517="2",BI1517,0),2)</f>
        <v>0</v>
      </c>
      <c r="AH1517" s="93">
        <f>ROUND(IF(AQ1517="0",BJ1517,0),2)</f>
        <v>0</v>
      </c>
      <c r="AI1517" s="88" t="s">
        <v>55</v>
      </c>
      <c r="AJ1517" s="93">
        <f>IF(AN1517=0,L1517,0)</f>
        <v>0</v>
      </c>
      <c r="AK1517" s="93">
        <f>IF(AN1517=12,L1517,0)</f>
        <v>0</v>
      </c>
      <c r="AL1517" s="93">
        <f>IF(AN1517=21,L1517,0)</f>
        <v>0</v>
      </c>
      <c r="AN1517" s="93">
        <v>21</v>
      </c>
      <c r="AO1517" s="93">
        <f>H1517*1</f>
        <v>0</v>
      </c>
      <c r="AP1517" s="93">
        <f>H1517*(1-1)</f>
        <v>0</v>
      </c>
      <c r="AQ1517" s="94" t="s">
        <v>148</v>
      </c>
      <c r="AV1517" s="93">
        <f>ROUND(AW1517+AX1517,2)</f>
        <v>0</v>
      </c>
      <c r="AW1517" s="93">
        <f>ROUND(G1517*AO1517,2)</f>
        <v>0</v>
      </c>
      <c r="AX1517" s="93">
        <f>ROUND(G1517*AP1517,2)</f>
        <v>0</v>
      </c>
      <c r="AY1517" s="94" t="s">
        <v>1525</v>
      </c>
      <c r="AZ1517" s="94" t="s">
        <v>1360</v>
      </c>
      <c r="BA1517" s="88" t="s">
        <v>67</v>
      </c>
      <c r="BC1517" s="93">
        <f>AW1517+AX1517</f>
        <v>0</v>
      </c>
      <c r="BD1517" s="93">
        <f>H1517/(100-BE1517)*100</f>
        <v>0</v>
      </c>
      <c r="BE1517" s="93">
        <v>0</v>
      </c>
      <c r="BF1517" s="93">
        <f>O1517</f>
        <v>1.3553792</v>
      </c>
      <c r="BH1517" s="93">
        <f>G1517*AO1517</f>
        <v>0</v>
      </c>
      <c r="BI1517" s="93">
        <f>G1517*AP1517</f>
        <v>0</v>
      </c>
      <c r="BJ1517" s="93">
        <f>G1517*H1517</f>
        <v>0</v>
      </c>
      <c r="BK1517" s="93"/>
      <c r="BL1517" s="93">
        <v>713</v>
      </c>
      <c r="BW1517" s="93">
        <f>I1517</f>
        <v>21</v>
      </c>
      <c r="BX1517" s="2" t="s">
        <v>1609</v>
      </c>
    </row>
    <row r="1518" spans="1:76" s="81" customFormat="1" ht="25.5" x14ac:dyDescent="0.25">
      <c r="A1518" s="110"/>
      <c r="B1518" s="95"/>
      <c r="C1518" s="95"/>
      <c r="D1518" s="76" t="s">
        <v>54</v>
      </c>
      <c r="E1518" s="76" t="s">
        <v>1601</v>
      </c>
      <c r="F1518" s="95"/>
      <c r="G1518" s="96">
        <v>0</v>
      </c>
      <c r="H1518" s="97"/>
      <c r="I1518" s="95"/>
      <c r="J1518" s="95"/>
      <c r="K1518" s="95"/>
      <c r="L1518" s="95"/>
      <c r="M1518" s="95"/>
      <c r="N1518" s="95"/>
      <c r="O1518" s="95"/>
      <c r="P1518" s="95"/>
    </row>
    <row r="1519" spans="1:76" s="81" customFormat="1" x14ac:dyDescent="0.25">
      <c r="A1519" s="110"/>
      <c r="B1519" s="95"/>
      <c r="C1519" s="95"/>
      <c r="D1519" s="76" t="s">
        <v>54</v>
      </c>
      <c r="E1519" s="76" t="s">
        <v>1602</v>
      </c>
      <c r="F1519" s="95"/>
      <c r="G1519" s="96">
        <v>0</v>
      </c>
      <c r="H1519" s="97"/>
      <c r="I1519" s="95"/>
      <c r="J1519" s="95"/>
      <c r="K1519" s="95"/>
      <c r="L1519" s="95"/>
      <c r="M1519" s="95"/>
      <c r="N1519" s="95"/>
      <c r="O1519" s="95"/>
      <c r="P1519" s="95"/>
    </row>
    <row r="1520" spans="1:76" s="81" customFormat="1" x14ac:dyDescent="0.25">
      <c r="A1520" s="110"/>
      <c r="B1520" s="95"/>
      <c r="C1520" s="95"/>
      <c r="D1520" s="76" t="s">
        <v>1610</v>
      </c>
      <c r="E1520" s="76" t="s">
        <v>54</v>
      </c>
      <c r="F1520" s="95"/>
      <c r="G1520" s="96">
        <v>1.9292100000000001</v>
      </c>
      <c r="H1520" s="97"/>
      <c r="I1520" s="95"/>
      <c r="J1520" s="95"/>
      <c r="K1520" s="95"/>
      <c r="L1520" s="95"/>
      <c r="M1520" s="95"/>
      <c r="N1520" s="95"/>
      <c r="O1520" s="95"/>
      <c r="P1520" s="95"/>
    </row>
    <row r="1521" spans="1:76" s="81" customFormat="1" x14ac:dyDescent="0.25">
      <c r="A1521" s="110"/>
      <c r="B1521" s="95"/>
      <c r="C1521" s="95"/>
      <c r="D1521" s="76" t="s">
        <v>1611</v>
      </c>
      <c r="E1521" s="76" t="s">
        <v>54</v>
      </c>
      <c r="F1521" s="95"/>
      <c r="G1521" s="96">
        <v>28.18872</v>
      </c>
      <c r="H1521" s="97"/>
      <c r="I1521" s="95"/>
      <c r="J1521" s="95"/>
      <c r="K1521" s="95"/>
      <c r="L1521" s="95"/>
      <c r="M1521" s="95"/>
      <c r="N1521" s="95"/>
      <c r="O1521" s="95"/>
      <c r="P1521" s="95"/>
    </row>
    <row r="1522" spans="1:76" s="81" customFormat="1" x14ac:dyDescent="0.25">
      <c r="A1522" s="110"/>
      <c r="B1522" s="95"/>
      <c r="C1522" s="95"/>
      <c r="D1522" s="76" t="s">
        <v>54</v>
      </c>
      <c r="E1522" s="76" t="s">
        <v>1604</v>
      </c>
      <c r="F1522" s="95"/>
      <c r="G1522" s="96">
        <v>0</v>
      </c>
      <c r="H1522" s="97"/>
      <c r="I1522" s="95"/>
      <c r="J1522" s="95"/>
      <c r="K1522" s="95"/>
      <c r="L1522" s="95"/>
      <c r="M1522" s="95"/>
      <c r="N1522" s="95"/>
      <c r="O1522" s="95"/>
      <c r="P1522" s="95"/>
    </row>
    <row r="1523" spans="1:76" s="81" customFormat="1" x14ac:dyDescent="0.25">
      <c r="A1523" s="110"/>
      <c r="B1523" s="95"/>
      <c r="C1523" s="95"/>
      <c r="D1523" s="76" t="s">
        <v>1612</v>
      </c>
      <c r="E1523" s="76" t="s">
        <v>54</v>
      </c>
      <c r="F1523" s="95"/>
      <c r="G1523" s="96">
        <v>0.27005000000000001</v>
      </c>
      <c r="H1523" s="97"/>
      <c r="I1523" s="95"/>
      <c r="J1523" s="95"/>
      <c r="K1523" s="95"/>
      <c r="L1523" s="95"/>
      <c r="M1523" s="95"/>
      <c r="N1523" s="95"/>
      <c r="O1523" s="95"/>
      <c r="P1523" s="95"/>
    </row>
    <row r="1524" spans="1:76" s="81" customFormat="1" x14ac:dyDescent="0.25">
      <c r="A1524" s="110"/>
      <c r="B1524" s="95"/>
      <c r="C1524" s="95"/>
      <c r="D1524" s="76" t="s">
        <v>1613</v>
      </c>
      <c r="E1524" s="76" t="s">
        <v>54</v>
      </c>
      <c r="F1524" s="95"/>
      <c r="G1524" s="96">
        <v>9.6100000000000005E-2</v>
      </c>
      <c r="H1524" s="97"/>
      <c r="I1524" s="95"/>
      <c r="J1524" s="95"/>
      <c r="K1524" s="95"/>
      <c r="L1524" s="95"/>
      <c r="M1524" s="95"/>
      <c r="N1524" s="95"/>
      <c r="O1524" s="95"/>
      <c r="P1524" s="95"/>
    </row>
    <row r="1525" spans="1:76" s="81" customFormat="1" ht="25.5" x14ac:dyDescent="0.25">
      <c r="A1525" s="110"/>
      <c r="B1525" s="95"/>
      <c r="C1525" s="95"/>
      <c r="D1525" s="76" t="s">
        <v>1614</v>
      </c>
      <c r="E1525" s="76" t="s">
        <v>54</v>
      </c>
      <c r="F1525" s="95"/>
      <c r="G1525" s="96">
        <v>2.6233300000000002</v>
      </c>
      <c r="H1525" s="97"/>
      <c r="I1525" s="95"/>
      <c r="J1525" s="95"/>
      <c r="K1525" s="95"/>
      <c r="L1525" s="95"/>
      <c r="M1525" s="95"/>
      <c r="N1525" s="95"/>
      <c r="O1525" s="95"/>
      <c r="P1525" s="95"/>
    </row>
    <row r="1526" spans="1:76" s="81" customFormat="1" x14ac:dyDescent="0.25">
      <c r="A1526" s="110"/>
      <c r="B1526" s="95"/>
      <c r="C1526" s="95"/>
      <c r="D1526" s="76" t="s">
        <v>54</v>
      </c>
      <c r="E1526" s="76" t="s">
        <v>1606</v>
      </c>
      <c r="F1526" s="95"/>
      <c r="G1526" s="96">
        <v>0</v>
      </c>
      <c r="H1526" s="97"/>
      <c r="I1526" s="95"/>
      <c r="J1526" s="95"/>
      <c r="K1526" s="95"/>
      <c r="L1526" s="95"/>
      <c r="M1526" s="95"/>
      <c r="N1526" s="95"/>
      <c r="O1526" s="95"/>
      <c r="P1526" s="95"/>
    </row>
    <row r="1527" spans="1:76" s="81" customFormat="1" x14ac:dyDescent="0.25">
      <c r="A1527" s="110"/>
      <c r="B1527" s="95"/>
      <c r="C1527" s="95"/>
      <c r="D1527" s="76" t="s">
        <v>1615</v>
      </c>
      <c r="E1527" s="76" t="s">
        <v>54</v>
      </c>
      <c r="F1527" s="95"/>
      <c r="G1527" s="96">
        <v>4.0354599999999996</v>
      </c>
      <c r="H1527" s="97"/>
      <c r="I1527" s="95"/>
      <c r="J1527" s="95"/>
      <c r="K1527" s="95"/>
      <c r="L1527" s="95"/>
      <c r="M1527" s="95"/>
      <c r="N1527" s="95"/>
      <c r="O1527" s="95"/>
      <c r="P1527" s="95"/>
    </row>
    <row r="1528" spans="1:76" s="81" customFormat="1" x14ac:dyDescent="0.25">
      <c r="A1528" s="110"/>
      <c r="B1528" s="95"/>
      <c r="C1528" s="95"/>
      <c r="D1528" s="76" t="s">
        <v>1616</v>
      </c>
      <c r="E1528" s="76" t="s">
        <v>54</v>
      </c>
      <c r="F1528" s="95"/>
      <c r="G1528" s="96">
        <v>1.5822499999999999</v>
      </c>
      <c r="H1528" s="97"/>
      <c r="I1528" s="95"/>
      <c r="J1528" s="95"/>
      <c r="K1528" s="95"/>
      <c r="L1528" s="95"/>
      <c r="M1528" s="95"/>
      <c r="N1528" s="95"/>
      <c r="O1528" s="95"/>
      <c r="P1528" s="95"/>
    </row>
    <row r="1529" spans="1:76" s="81" customFormat="1" ht="25.5" x14ac:dyDescent="0.25">
      <c r="A1529" s="66" t="s">
        <v>1639</v>
      </c>
      <c r="B1529" s="72" t="s">
        <v>55</v>
      </c>
      <c r="C1529" s="72" t="s">
        <v>1618</v>
      </c>
      <c r="D1529" s="174" t="s">
        <v>1619</v>
      </c>
      <c r="E1529" s="174"/>
      <c r="F1529" s="72" t="s">
        <v>213</v>
      </c>
      <c r="G1529" s="90">
        <v>739.37599999999998</v>
      </c>
      <c r="H1529" s="91"/>
      <c r="I1529" s="103">
        <v>21</v>
      </c>
      <c r="J1529" s="90">
        <f>ROUND(G1529*AO1529,2)</f>
        <v>0</v>
      </c>
      <c r="K1529" s="90">
        <f>ROUND(G1529*AP1529,2)</f>
        <v>0</v>
      </c>
      <c r="L1529" s="90">
        <f>ROUND(G1529*H1529,2)</f>
        <v>0</v>
      </c>
      <c r="M1529" s="90">
        <f>L1529*(1+BW1529/100)</f>
        <v>0</v>
      </c>
      <c r="N1529" s="90">
        <v>3.2000000000000003E-4</v>
      </c>
      <c r="O1529" s="90">
        <f>G1529*N1529</f>
        <v>0.23660032</v>
      </c>
      <c r="P1529" s="92" t="s">
        <v>64</v>
      </c>
      <c r="Z1529" s="93">
        <f>ROUND(IF(AQ1529="5",BJ1529,0),2)</f>
        <v>0</v>
      </c>
      <c r="AB1529" s="93">
        <f>ROUND(IF(AQ1529="1",BH1529,0),2)</f>
        <v>0</v>
      </c>
      <c r="AC1529" s="93">
        <f>ROUND(IF(AQ1529="1",BI1529,0),2)</f>
        <v>0</v>
      </c>
      <c r="AD1529" s="93">
        <f>ROUND(IF(AQ1529="7",BH1529,0),2)</f>
        <v>0</v>
      </c>
      <c r="AE1529" s="93">
        <f>ROUND(IF(AQ1529="7",BI1529,0),2)</f>
        <v>0</v>
      </c>
      <c r="AF1529" s="93">
        <f>ROUND(IF(AQ1529="2",BH1529,0),2)</f>
        <v>0</v>
      </c>
      <c r="AG1529" s="93">
        <f>ROUND(IF(AQ1529="2",BI1529,0),2)</f>
        <v>0</v>
      </c>
      <c r="AH1529" s="93">
        <f>ROUND(IF(AQ1529="0",BJ1529,0),2)</f>
        <v>0</v>
      </c>
      <c r="AI1529" s="88" t="s">
        <v>55</v>
      </c>
      <c r="AJ1529" s="93">
        <f>IF(AN1529=0,L1529,0)</f>
        <v>0</v>
      </c>
      <c r="AK1529" s="93">
        <f>IF(AN1529=12,L1529,0)</f>
        <v>0</v>
      </c>
      <c r="AL1529" s="93">
        <f>IF(AN1529=21,L1529,0)</f>
        <v>0</v>
      </c>
      <c r="AN1529" s="93">
        <v>21</v>
      </c>
      <c r="AO1529" s="93">
        <f>H1529*0.664642866</f>
        <v>0</v>
      </c>
      <c r="AP1529" s="93">
        <f>H1529*(1-0.664642866)</f>
        <v>0</v>
      </c>
      <c r="AQ1529" s="94" t="s">
        <v>148</v>
      </c>
      <c r="AV1529" s="93">
        <f>ROUND(AW1529+AX1529,2)</f>
        <v>0</v>
      </c>
      <c r="AW1529" s="93">
        <f>ROUND(G1529*AO1529,2)</f>
        <v>0</v>
      </c>
      <c r="AX1529" s="93">
        <f>ROUND(G1529*AP1529,2)</f>
        <v>0</v>
      </c>
      <c r="AY1529" s="94" t="s">
        <v>1525</v>
      </c>
      <c r="AZ1529" s="94" t="s">
        <v>1360</v>
      </c>
      <c r="BA1529" s="88" t="s">
        <v>67</v>
      </c>
      <c r="BC1529" s="93">
        <f>AW1529+AX1529</f>
        <v>0</v>
      </c>
      <c r="BD1529" s="93">
        <f>H1529/(100-BE1529)*100</f>
        <v>0</v>
      </c>
      <c r="BE1529" s="93">
        <v>0</v>
      </c>
      <c r="BF1529" s="93">
        <f>O1529</f>
        <v>0.23660032</v>
      </c>
      <c r="BH1529" s="93">
        <f>G1529*AO1529</f>
        <v>0</v>
      </c>
      <c r="BI1529" s="93">
        <f>G1529*AP1529</f>
        <v>0</v>
      </c>
      <c r="BJ1529" s="93">
        <f>G1529*H1529</f>
        <v>0</v>
      </c>
      <c r="BK1529" s="93"/>
      <c r="BL1529" s="93">
        <v>713</v>
      </c>
      <c r="BW1529" s="93">
        <f>I1529</f>
        <v>21</v>
      </c>
      <c r="BX1529" s="2" t="s">
        <v>1619</v>
      </c>
    </row>
    <row r="1530" spans="1:76" s="81" customFormat="1" ht="13.5" customHeight="1" x14ac:dyDescent="0.25">
      <c r="A1530" s="110"/>
      <c r="B1530" s="95"/>
      <c r="C1530" s="95"/>
      <c r="D1530" s="179" t="s">
        <v>1620</v>
      </c>
      <c r="E1530" s="179"/>
      <c r="F1530" s="179"/>
      <c r="G1530" s="179"/>
      <c r="H1530" s="179"/>
      <c r="I1530" s="179"/>
      <c r="J1530" s="179"/>
      <c r="K1530" s="179"/>
      <c r="L1530" s="179"/>
      <c r="M1530" s="179"/>
      <c r="N1530" s="179"/>
      <c r="O1530" s="179"/>
      <c r="P1530" s="179"/>
    </row>
    <row r="1531" spans="1:76" s="81" customFormat="1" x14ac:dyDescent="0.25">
      <c r="A1531" s="110"/>
      <c r="B1531" s="95"/>
      <c r="C1531" s="95"/>
      <c r="D1531" s="76" t="s">
        <v>54</v>
      </c>
      <c r="E1531" s="76" t="s">
        <v>1321</v>
      </c>
      <c r="F1531" s="95"/>
      <c r="G1531" s="96">
        <v>0</v>
      </c>
      <c r="H1531" s="97"/>
      <c r="I1531" s="95"/>
      <c r="J1531" s="95"/>
      <c r="K1531" s="95"/>
      <c r="L1531" s="95"/>
      <c r="M1531" s="95"/>
      <c r="N1531" s="95"/>
      <c r="O1531" s="95"/>
      <c r="P1531" s="95"/>
    </row>
    <row r="1532" spans="1:76" s="81" customFormat="1" x14ac:dyDescent="0.25">
      <c r="A1532" s="110"/>
      <c r="B1532" s="95"/>
      <c r="C1532" s="95"/>
      <c r="D1532" s="76" t="s">
        <v>54</v>
      </c>
      <c r="E1532" s="76" t="s">
        <v>299</v>
      </c>
      <c r="F1532" s="95"/>
      <c r="G1532" s="96">
        <v>0</v>
      </c>
      <c r="H1532" s="97"/>
      <c r="I1532" s="95"/>
      <c r="J1532" s="95"/>
      <c r="K1532" s="95"/>
      <c r="L1532" s="95"/>
      <c r="M1532" s="95"/>
      <c r="N1532" s="95"/>
      <c r="O1532" s="95"/>
      <c r="P1532" s="95"/>
    </row>
    <row r="1533" spans="1:76" s="81" customFormat="1" x14ac:dyDescent="0.25">
      <c r="A1533" s="110"/>
      <c r="B1533" s="95"/>
      <c r="C1533" s="95"/>
      <c r="D1533" s="76" t="s">
        <v>1621</v>
      </c>
      <c r="E1533" s="76" t="s">
        <v>54</v>
      </c>
      <c r="F1533" s="95"/>
      <c r="G1533" s="96">
        <v>8.5500000000000007</v>
      </c>
      <c r="H1533" s="97"/>
      <c r="I1533" s="95"/>
      <c r="J1533" s="95"/>
      <c r="K1533" s="95"/>
      <c r="L1533" s="95"/>
      <c r="M1533" s="95"/>
      <c r="N1533" s="95"/>
      <c r="O1533" s="95"/>
      <c r="P1533" s="95"/>
    </row>
    <row r="1534" spans="1:76" s="81" customFormat="1" x14ac:dyDescent="0.25">
      <c r="A1534" s="110"/>
      <c r="B1534" s="95"/>
      <c r="C1534" s="95"/>
      <c r="D1534" s="76" t="s">
        <v>1622</v>
      </c>
      <c r="E1534" s="76" t="s">
        <v>54</v>
      </c>
      <c r="F1534" s="95"/>
      <c r="G1534" s="96">
        <v>7.65</v>
      </c>
      <c r="H1534" s="97"/>
      <c r="I1534" s="95"/>
      <c r="J1534" s="95"/>
      <c r="K1534" s="95"/>
      <c r="L1534" s="95"/>
      <c r="M1534" s="95"/>
      <c r="N1534" s="95"/>
      <c r="O1534" s="95"/>
      <c r="P1534" s="95"/>
    </row>
    <row r="1535" spans="1:76" s="81" customFormat="1" x14ac:dyDescent="0.25">
      <c r="A1535" s="110"/>
      <c r="B1535" s="95"/>
      <c r="C1535" s="95"/>
      <c r="D1535" s="76" t="s">
        <v>1623</v>
      </c>
      <c r="E1535" s="76" t="s">
        <v>54</v>
      </c>
      <c r="F1535" s="95"/>
      <c r="G1535" s="96">
        <v>8.5</v>
      </c>
      <c r="H1535" s="97"/>
      <c r="I1535" s="95"/>
      <c r="J1535" s="95"/>
      <c r="K1535" s="95"/>
      <c r="L1535" s="95"/>
      <c r="M1535" s="95"/>
      <c r="N1535" s="95"/>
      <c r="O1535" s="95"/>
      <c r="P1535" s="95"/>
    </row>
    <row r="1536" spans="1:76" s="81" customFormat="1" x14ac:dyDescent="0.25">
      <c r="A1536" s="110"/>
      <c r="B1536" s="95"/>
      <c r="C1536" s="95"/>
      <c r="D1536" s="76" t="s">
        <v>1624</v>
      </c>
      <c r="E1536" s="76" t="s">
        <v>54</v>
      </c>
      <c r="F1536" s="95"/>
      <c r="G1536" s="96">
        <v>7.7</v>
      </c>
      <c r="H1536" s="97"/>
      <c r="I1536" s="95"/>
      <c r="J1536" s="95"/>
      <c r="K1536" s="95"/>
      <c r="L1536" s="95"/>
      <c r="M1536" s="95"/>
      <c r="N1536" s="95"/>
      <c r="O1536" s="95"/>
      <c r="P1536" s="95"/>
    </row>
    <row r="1537" spans="1:76" s="81" customFormat="1" x14ac:dyDescent="0.25">
      <c r="A1537" s="110"/>
      <c r="B1537" s="95"/>
      <c r="C1537" s="95"/>
      <c r="D1537" s="76" t="s">
        <v>1625</v>
      </c>
      <c r="E1537" s="76" t="s">
        <v>54</v>
      </c>
      <c r="F1537" s="95"/>
      <c r="G1537" s="96">
        <v>6.4</v>
      </c>
      <c r="H1537" s="97"/>
      <c r="I1537" s="95"/>
      <c r="J1537" s="95"/>
      <c r="K1537" s="95"/>
      <c r="L1537" s="95"/>
      <c r="M1537" s="95"/>
      <c r="N1537" s="95"/>
      <c r="O1537" s="95"/>
      <c r="P1537" s="95"/>
    </row>
    <row r="1538" spans="1:76" s="81" customFormat="1" x14ac:dyDescent="0.25">
      <c r="A1538" s="110"/>
      <c r="B1538" s="95"/>
      <c r="C1538" s="95"/>
      <c r="D1538" s="76" t="s">
        <v>1626</v>
      </c>
      <c r="E1538" s="76" t="s">
        <v>54</v>
      </c>
      <c r="F1538" s="95"/>
      <c r="G1538" s="96">
        <v>8.4</v>
      </c>
      <c r="H1538" s="97"/>
      <c r="I1538" s="95"/>
      <c r="J1538" s="95"/>
      <c r="K1538" s="95"/>
      <c r="L1538" s="95"/>
      <c r="M1538" s="95"/>
      <c r="N1538" s="95"/>
      <c r="O1538" s="95"/>
      <c r="P1538" s="95"/>
    </row>
    <row r="1539" spans="1:76" s="81" customFormat="1" x14ac:dyDescent="0.25">
      <c r="A1539" s="110"/>
      <c r="B1539" s="95"/>
      <c r="C1539" s="95"/>
      <c r="D1539" s="76" t="s">
        <v>1627</v>
      </c>
      <c r="E1539" s="76" t="s">
        <v>54</v>
      </c>
      <c r="F1539" s="95"/>
      <c r="G1539" s="96">
        <v>28.734999999999999</v>
      </c>
      <c r="H1539" s="97"/>
      <c r="I1539" s="95"/>
      <c r="J1539" s="95"/>
      <c r="K1539" s="95"/>
      <c r="L1539" s="95"/>
      <c r="M1539" s="95"/>
      <c r="N1539" s="95"/>
      <c r="O1539" s="95"/>
      <c r="P1539" s="95"/>
    </row>
    <row r="1540" spans="1:76" s="81" customFormat="1" x14ac:dyDescent="0.25">
      <c r="A1540" s="110"/>
      <c r="B1540" s="95"/>
      <c r="C1540" s="95"/>
      <c r="D1540" s="76" t="s">
        <v>1628</v>
      </c>
      <c r="E1540" s="76" t="s">
        <v>54</v>
      </c>
      <c r="F1540" s="95"/>
      <c r="G1540" s="96">
        <v>2.1</v>
      </c>
      <c r="H1540" s="97"/>
      <c r="I1540" s="95"/>
      <c r="J1540" s="95"/>
      <c r="K1540" s="95"/>
      <c r="L1540" s="95"/>
      <c r="M1540" s="95"/>
      <c r="N1540" s="95"/>
      <c r="O1540" s="95"/>
      <c r="P1540" s="95"/>
    </row>
    <row r="1541" spans="1:76" s="81" customFormat="1" x14ac:dyDescent="0.25">
      <c r="A1541" s="110"/>
      <c r="B1541" s="95"/>
      <c r="C1541" s="95"/>
      <c r="D1541" s="76" t="s">
        <v>1629</v>
      </c>
      <c r="E1541" s="76" t="s">
        <v>54</v>
      </c>
      <c r="F1541" s="95"/>
      <c r="G1541" s="96">
        <v>2.2650000000000001</v>
      </c>
      <c r="H1541" s="97"/>
      <c r="I1541" s="95"/>
      <c r="J1541" s="95"/>
      <c r="K1541" s="95"/>
      <c r="L1541" s="95"/>
      <c r="M1541" s="95"/>
      <c r="N1541" s="95"/>
      <c r="O1541" s="95"/>
      <c r="P1541" s="95"/>
    </row>
    <row r="1542" spans="1:76" s="81" customFormat="1" x14ac:dyDescent="0.25">
      <c r="A1542" s="110"/>
      <c r="B1542" s="95"/>
      <c r="C1542" s="95"/>
      <c r="D1542" s="76" t="s">
        <v>54</v>
      </c>
      <c r="E1542" s="76" t="s">
        <v>308</v>
      </c>
      <c r="F1542" s="95"/>
      <c r="G1542" s="96">
        <v>0</v>
      </c>
      <c r="H1542" s="97"/>
      <c r="I1542" s="95"/>
      <c r="J1542" s="95"/>
      <c r="K1542" s="95"/>
      <c r="L1542" s="95"/>
      <c r="M1542" s="95"/>
      <c r="N1542" s="95"/>
      <c r="O1542" s="95"/>
      <c r="P1542" s="95"/>
    </row>
    <row r="1543" spans="1:76" s="81" customFormat="1" x14ac:dyDescent="0.25">
      <c r="A1543" s="110"/>
      <c r="B1543" s="95"/>
      <c r="C1543" s="95"/>
      <c r="D1543" s="76" t="s">
        <v>1630</v>
      </c>
      <c r="E1543" s="76" t="s">
        <v>54</v>
      </c>
      <c r="F1543" s="95"/>
      <c r="G1543" s="96">
        <v>5.9</v>
      </c>
      <c r="H1543" s="97"/>
      <c r="I1543" s="95"/>
      <c r="J1543" s="95"/>
      <c r="K1543" s="95"/>
      <c r="L1543" s="95"/>
      <c r="M1543" s="95"/>
      <c r="N1543" s="95"/>
      <c r="O1543" s="95"/>
      <c r="P1543" s="95"/>
    </row>
    <row r="1544" spans="1:76" s="81" customFormat="1" x14ac:dyDescent="0.25">
      <c r="A1544" s="110"/>
      <c r="B1544" s="95"/>
      <c r="C1544" s="95"/>
      <c r="D1544" s="76" t="s">
        <v>1631</v>
      </c>
      <c r="E1544" s="76" t="s">
        <v>54</v>
      </c>
      <c r="F1544" s="95"/>
      <c r="G1544" s="96">
        <v>7.44</v>
      </c>
      <c r="H1544" s="97"/>
      <c r="I1544" s="95"/>
      <c r="J1544" s="95"/>
      <c r="K1544" s="95"/>
      <c r="L1544" s="95"/>
      <c r="M1544" s="95"/>
      <c r="N1544" s="95"/>
      <c r="O1544" s="95"/>
      <c r="P1544" s="95"/>
    </row>
    <row r="1545" spans="1:76" s="81" customFormat="1" x14ac:dyDescent="0.25">
      <c r="A1545" s="110"/>
      <c r="B1545" s="95"/>
      <c r="C1545" s="95"/>
      <c r="D1545" s="76" t="s">
        <v>1632</v>
      </c>
      <c r="E1545" s="76" t="s">
        <v>54</v>
      </c>
      <c r="F1545" s="95"/>
      <c r="G1545" s="96">
        <v>5.59</v>
      </c>
      <c r="H1545" s="97"/>
      <c r="I1545" s="95"/>
      <c r="J1545" s="95"/>
      <c r="K1545" s="95"/>
      <c r="L1545" s="95"/>
      <c r="M1545" s="95"/>
      <c r="N1545" s="95"/>
      <c r="O1545" s="95"/>
      <c r="P1545" s="95"/>
    </row>
    <row r="1546" spans="1:76" s="81" customFormat="1" x14ac:dyDescent="0.25">
      <c r="A1546" s="110"/>
      <c r="B1546" s="95"/>
      <c r="C1546" s="95"/>
      <c r="D1546" s="76" t="s">
        <v>1633</v>
      </c>
      <c r="E1546" s="76" t="s">
        <v>54</v>
      </c>
      <c r="F1546" s="95"/>
      <c r="G1546" s="96">
        <v>7.44</v>
      </c>
      <c r="H1546" s="97"/>
      <c r="I1546" s="95"/>
      <c r="J1546" s="95"/>
      <c r="K1546" s="95"/>
      <c r="L1546" s="95"/>
      <c r="M1546" s="95"/>
      <c r="N1546" s="95"/>
      <c r="O1546" s="95"/>
      <c r="P1546" s="95"/>
    </row>
    <row r="1547" spans="1:76" s="81" customFormat="1" x14ac:dyDescent="0.25">
      <c r="A1547" s="110"/>
      <c r="B1547" s="95"/>
      <c r="C1547" s="95"/>
      <c r="D1547" s="76" t="s">
        <v>1634</v>
      </c>
      <c r="E1547" s="76" t="s">
        <v>54</v>
      </c>
      <c r="F1547" s="95"/>
      <c r="G1547" s="96">
        <v>5.49</v>
      </c>
      <c r="H1547" s="97"/>
      <c r="I1547" s="95"/>
      <c r="J1547" s="95"/>
      <c r="K1547" s="95"/>
      <c r="L1547" s="95"/>
      <c r="M1547" s="95"/>
      <c r="N1547" s="95"/>
      <c r="O1547" s="95"/>
      <c r="P1547" s="95"/>
    </row>
    <row r="1548" spans="1:76" s="81" customFormat="1" x14ac:dyDescent="0.25">
      <c r="A1548" s="110"/>
      <c r="B1548" s="95"/>
      <c r="C1548" s="95"/>
      <c r="D1548" s="76" t="s">
        <v>1635</v>
      </c>
      <c r="E1548" s="76" t="s">
        <v>54</v>
      </c>
      <c r="F1548" s="95"/>
      <c r="G1548" s="96">
        <v>6.8</v>
      </c>
      <c r="H1548" s="97"/>
      <c r="I1548" s="95"/>
      <c r="J1548" s="95"/>
      <c r="K1548" s="95"/>
      <c r="L1548" s="95"/>
      <c r="M1548" s="95"/>
      <c r="N1548" s="95"/>
      <c r="O1548" s="95"/>
      <c r="P1548" s="95"/>
    </row>
    <row r="1549" spans="1:76" s="81" customFormat="1" x14ac:dyDescent="0.25">
      <c r="A1549" s="110"/>
      <c r="B1549" s="95"/>
      <c r="C1549" s="95"/>
      <c r="D1549" s="76" t="s">
        <v>1636</v>
      </c>
      <c r="E1549" s="76" t="s">
        <v>54</v>
      </c>
      <c r="F1549" s="95"/>
      <c r="G1549" s="96">
        <v>5.9</v>
      </c>
      <c r="H1549" s="97"/>
      <c r="I1549" s="95"/>
      <c r="J1549" s="95"/>
      <c r="K1549" s="95"/>
      <c r="L1549" s="95"/>
      <c r="M1549" s="95"/>
      <c r="N1549" s="95"/>
      <c r="O1549" s="95"/>
      <c r="P1549" s="95"/>
    </row>
    <row r="1550" spans="1:76" s="81" customFormat="1" x14ac:dyDescent="0.25">
      <c r="A1550" s="110"/>
      <c r="B1550" s="95"/>
      <c r="C1550" s="95"/>
      <c r="D1550" s="76" t="s">
        <v>1637</v>
      </c>
      <c r="E1550" s="76" t="s">
        <v>54</v>
      </c>
      <c r="F1550" s="95"/>
      <c r="G1550" s="96">
        <v>8.43</v>
      </c>
      <c r="H1550" s="97"/>
      <c r="I1550" s="95"/>
      <c r="J1550" s="95"/>
      <c r="K1550" s="95"/>
      <c r="L1550" s="95"/>
      <c r="M1550" s="95"/>
      <c r="N1550" s="95"/>
      <c r="O1550" s="95"/>
      <c r="P1550" s="95"/>
    </row>
    <row r="1551" spans="1:76" s="81" customFormat="1" x14ac:dyDescent="0.25">
      <c r="A1551" s="110"/>
      <c r="B1551" s="95"/>
      <c r="C1551" s="95"/>
      <c r="D1551" s="76" t="s">
        <v>1638</v>
      </c>
      <c r="E1551" s="76" t="s">
        <v>54</v>
      </c>
      <c r="F1551" s="95"/>
      <c r="G1551" s="96">
        <v>606.08600000000001</v>
      </c>
      <c r="H1551" s="97"/>
      <c r="I1551" s="95"/>
      <c r="J1551" s="95"/>
      <c r="K1551" s="95"/>
      <c r="L1551" s="95"/>
      <c r="M1551" s="95"/>
      <c r="N1551" s="95"/>
      <c r="O1551" s="95"/>
      <c r="P1551" s="95"/>
    </row>
    <row r="1552" spans="1:76" s="81" customFormat="1" ht="25.5" x14ac:dyDescent="0.25">
      <c r="A1552" s="66" t="s">
        <v>1644</v>
      </c>
      <c r="B1552" s="72" t="s">
        <v>55</v>
      </c>
      <c r="C1552" s="72" t="s">
        <v>1640</v>
      </c>
      <c r="D1552" s="174" t="s">
        <v>1641</v>
      </c>
      <c r="E1552" s="174"/>
      <c r="F1552" s="72" t="s">
        <v>1447</v>
      </c>
      <c r="G1552" s="91"/>
      <c r="H1552" s="91"/>
      <c r="I1552" s="103">
        <v>21</v>
      </c>
      <c r="J1552" s="90">
        <f>ROUND(G1552*AO1552,2)</f>
        <v>0</v>
      </c>
      <c r="K1552" s="90">
        <f>ROUND(G1552*AP1552,2)</f>
        <v>0</v>
      </c>
      <c r="L1552" s="90">
        <f>ROUND(G1552*H1552,2)</f>
        <v>0</v>
      </c>
      <c r="M1552" s="90">
        <f>L1552*(1+BW1552/100)</f>
        <v>0</v>
      </c>
      <c r="N1552" s="90">
        <v>0</v>
      </c>
      <c r="O1552" s="90">
        <f>G1552*N1552</f>
        <v>0</v>
      </c>
      <c r="P1552" s="92" t="s">
        <v>64</v>
      </c>
      <c r="Z1552" s="93">
        <f>ROUND(IF(AQ1552="5",BJ1552,0),2)</f>
        <v>0</v>
      </c>
      <c r="AB1552" s="93">
        <f>ROUND(IF(AQ1552="1",BH1552,0),2)</f>
        <v>0</v>
      </c>
      <c r="AC1552" s="93">
        <f>ROUND(IF(AQ1552="1",BI1552,0),2)</f>
        <v>0</v>
      </c>
      <c r="AD1552" s="93">
        <f>ROUND(IF(AQ1552="7",BH1552,0),2)</f>
        <v>0</v>
      </c>
      <c r="AE1552" s="93">
        <f>ROUND(IF(AQ1552="7",BI1552,0),2)</f>
        <v>0</v>
      </c>
      <c r="AF1552" s="93">
        <f>ROUND(IF(AQ1552="2",BH1552,0),2)</f>
        <v>0</v>
      </c>
      <c r="AG1552" s="93">
        <f>ROUND(IF(AQ1552="2",BI1552,0),2)</f>
        <v>0</v>
      </c>
      <c r="AH1552" s="93">
        <f>ROUND(IF(AQ1552="0",BJ1552,0),2)</f>
        <v>0</v>
      </c>
      <c r="AI1552" s="88" t="s">
        <v>55</v>
      </c>
      <c r="AJ1552" s="93">
        <f>IF(AN1552=0,L1552,0)</f>
        <v>0</v>
      </c>
      <c r="AK1552" s="93">
        <f>IF(AN1552=12,L1552,0)</f>
        <v>0</v>
      </c>
      <c r="AL1552" s="93">
        <f>IF(AN1552=21,L1552,0)</f>
        <v>0</v>
      </c>
      <c r="AN1552" s="93">
        <v>21</v>
      </c>
      <c r="AO1552" s="93">
        <f>H1552*0</f>
        <v>0</v>
      </c>
      <c r="AP1552" s="93">
        <f>H1552*(1-0)</f>
        <v>0</v>
      </c>
      <c r="AQ1552" s="94" t="s">
        <v>136</v>
      </c>
      <c r="AV1552" s="93">
        <f>ROUND(AW1552+AX1552,2)</f>
        <v>0</v>
      </c>
      <c r="AW1552" s="93">
        <f>ROUND(G1552*AO1552,2)</f>
        <v>0</v>
      </c>
      <c r="AX1552" s="93">
        <f>ROUND(G1552*AP1552,2)</f>
        <v>0</v>
      </c>
      <c r="AY1552" s="94" t="s">
        <v>1525</v>
      </c>
      <c r="AZ1552" s="94" t="s">
        <v>1360</v>
      </c>
      <c r="BA1552" s="88" t="s">
        <v>67</v>
      </c>
      <c r="BC1552" s="93">
        <f>AW1552+AX1552</f>
        <v>0</v>
      </c>
      <c r="BD1552" s="93">
        <f>H1552/(100-BE1552)*100</f>
        <v>0</v>
      </c>
      <c r="BE1552" s="93">
        <v>0</v>
      </c>
      <c r="BF1552" s="93">
        <f>O1552</f>
        <v>0</v>
      </c>
      <c r="BH1552" s="93">
        <f>G1552*AO1552</f>
        <v>0</v>
      </c>
      <c r="BI1552" s="93">
        <f>G1552*AP1552</f>
        <v>0</v>
      </c>
      <c r="BJ1552" s="93">
        <f>G1552*H1552</f>
        <v>0</v>
      </c>
      <c r="BK1552" s="93"/>
      <c r="BL1552" s="93">
        <v>713</v>
      </c>
      <c r="BW1552" s="93">
        <f>I1552</f>
        <v>21</v>
      </c>
      <c r="BX1552" s="2" t="s">
        <v>1641</v>
      </c>
    </row>
    <row r="1553" spans="1:76" s="81" customFormat="1" x14ac:dyDescent="0.25">
      <c r="A1553" s="109" t="s">
        <v>54</v>
      </c>
      <c r="B1553" s="74" t="s">
        <v>55</v>
      </c>
      <c r="C1553" s="74" t="s">
        <v>1642</v>
      </c>
      <c r="D1553" s="180" t="s">
        <v>1643</v>
      </c>
      <c r="E1553" s="180"/>
      <c r="F1553" s="85" t="s">
        <v>4</v>
      </c>
      <c r="G1553" s="85" t="s">
        <v>4</v>
      </c>
      <c r="H1553" s="85" t="s">
        <v>4</v>
      </c>
      <c r="I1553" s="85" t="s">
        <v>4</v>
      </c>
      <c r="J1553" s="86">
        <f>SUM(J1554:J1574)</f>
        <v>0</v>
      </c>
      <c r="K1553" s="86">
        <f>SUM(K1554:K1574)</f>
        <v>0</v>
      </c>
      <c r="L1553" s="86">
        <f>SUM(L1554:L1574)</f>
        <v>0</v>
      </c>
      <c r="M1553" s="86">
        <f>SUM(M1554:M1574)</f>
        <v>0</v>
      </c>
      <c r="N1553" s="87" t="s">
        <v>54</v>
      </c>
      <c r="O1553" s="86">
        <f>SUM(O1554:O1574)</f>
        <v>0</v>
      </c>
      <c r="P1553" s="87" t="s">
        <v>54</v>
      </c>
      <c r="AI1553" s="88" t="s">
        <v>55</v>
      </c>
      <c r="AS1553" s="89">
        <f>SUM(AJ1554:AJ1574)</f>
        <v>0</v>
      </c>
      <c r="AT1553" s="89">
        <f>SUM(AK1554:AK1574)</f>
        <v>0</v>
      </c>
      <c r="AU1553" s="89">
        <f>SUM(AL1554:AL1574)</f>
        <v>0</v>
      </c>
    </row>
    <row r="1554" spans="1:76" s="81" customFormat="1" ht="25.5" x14ac:dyDescent="0.25">
      <c r="A1554" s="66" t="s">
        <v>1650</v>
      </c>
      <c r="B1554" s="72" t="s">
        <v>55</v>
      </c>
      <c r="C1554" s="72" t="s">
        <v>1645</v>
      </c>
      <c r="D1554" s="174" t="s">
        <v>1646</v>
      </c>
      <c r="E1554" s="174"/>
      <c r="F1554" s="72" t="s">
        <v>203</v>
      </c>
      <c r="G1554" s="90">
        <v>2</v>
      </c>
      <c r="H1554" s="91"/>
      <c r="I1554" s="92" t="s">
        <v>63</v>
      </c>
      <c r="J1554" s="90">
        <f t="shared" ref="J1554:J1574" si="1">G1554*AO1554</f>
        <v>0</v>
      </c>
      <c r="K1554" s="90">
        <f t="shared" ref="K1554:K1574" si="2">G1554*AP1554</f>
        <v>0</v>
      </c>
      <c r="L1554" s="90">
        <f t="shared" ref="L1554:L1574" si="3">G1554*H1554</f>
        <v>0</v>
      </c>
      <c r="M1554" s="90">
        <f t="shared" ref="M1554:M1574" si="4">L1554*(1+BW1554/100)</f>
        <v>0</v>
      </c>
      <c r="N1554" s="90">
        <v>0</v>
      </c>
      <c r="O1554" s="90">
        <f t="shared" ref="O1554:O1574" si="5">G1554*N1554</f>
        <v>0</v>
      </c>
      <c r="P1554" s="92" t="s">
        <v>1647</v>
      </c>
      <c r="Z1554" s="93">
        <f t="shared" ref="Z1554:Z1574" si="6">IF(AQ1554="5",BJ1554,0)</f>
        <v>0</v>
      </c>
      <c r="AB1554" s="93">
        <f t="shared" ref="AB1554:AB1574" si="7">IF(AQ1554="1",BH1554,0)</f>
        <v>0</v>
      </c>
      <c r="AC1554" s="93">
        <f t="shared" ref="AC1554:AC1574" si="8">IF(AQ1554="1",BI1554,0)</f>
        <v>0</v>
      </c>
      <c r="AD1554" s="93">
        <f t="shared" ref="AD1554:AD1574" si="9">IF(AQ1554="7",BH1554,0)</f>
        <v>0</v>
      </c>
      <c r="AE1554" s="93">
        <f t="shared" ref="AE1554:AE1574" si="10">IF(AQ1554="7",BI1554,0)</f>
        <v>0</v>
      </c>
      <c r="AF1554" s="93">
        <f t="shared" ref="AF1554:AF1574" si="11">IF(AQ1554="2",BH1554,0)</f>
        <v>0</v>
      </c>
      <c r="AG1554" s="93">
        <f t="shared" ref="AG1554:AG1574" si="12">IF(AQ1554="2",BI1554,0)</f>
        <v>0</v>
      </c>
      <c r="AH1554" s="93">
        <f t="shared" ref="AH1554:AH1574" si="13">IF(AQ1554="0",BJ1554,0)</f>
        <v>0</v>
      </c>
      <c r="AI1554" s="88" t="s">
        <v>55</v>
      </c>
      <c r="AJ1554" s="93">
        <f t="shared" ref="AJ1554:AJ1574" si="14">IF(AN1554=0,L1554,0)</f>
        <v>0</v>
      </c>
      <c r="AK1554" s="93">
        <f t="shared" ref="AK1554:AK1574" si="15">IF(AN1554=12,L1554,0)</f>
        <v>0</v>
      </c>
      <c r="AL1554" s="93">
        <f t="shared" ref="AL1554:AL1574" si="16">IF(AN1554=21,L1554,0)</f>
        <v>0</v>
      </c>
      <c r="AN1554" s="93">
        <v>21</v>
      </c>
      <c r="AO1554" s="93">
        <f t="shared" ref="AO1554:AO1574" si="17">H1554*0</f>
        <v>0</v>
      </c>
      <c r="AP1554" s="93">
        <f t="shared" ref="AP1554:AP1574" si="18">H1554*(1-0)</f>
        <v>0</v>
      </c>
      <c r="AQ1554" s="94" t="s">
        <v>148</v>
      </c>
      <c r="AV1554" s="93">
        <f t="shared" ref="AV1554:AV1574" si="19">AW1554+AX1554</f>
        <v>0</v>
      </c>
      <c r="AW1554" s="93">
        <f t="shared" ref="AW1554:AW1574" si="20">G1554*AO1554</f>
        <v>0</v>
      </c>
      <c r="AX1554" s="93">
        <f t="shared" ref="AX1554:AX1574" si="21">G1554*AP1554</f>
        <v>0</v>
      </c>
      <c r="AY1554" s="94" t="s">
        <v>1648</v>
      </c>
      <c r="AZ1554" s="94" t="s">
        <v>1649</v>
      </c>
      <c r="BA1554" s="88" t="s">
        <v>67</v>
      </c>
      <c r="BC1554" s="93">
        <f t="shared" ref="BC1554:BC1574" si="22">AW1554+AX1554</f>
        <v>0</v>
      </c>
      <c r="BD1554" s="93">
        <f t="shared" ref="BD1554:BD1574" si="23">H1554/(100-BE1554)*100</f>
        <v>0</v>
      </c>
      <c r="BE1554" s="93">
        <v>0</v>
      </c>
      <c r="BF1554" s="93">
        <f t="shared" ref="BF1554:BF1574" si="24">O1554</f>
        <v>0</v>
      </c>
      <c r="BH1554" s="93">
        <f t="shared" ref="BH1554:BH1574" si="25">G1554*AO1554</f>
        <v>0</v>
      </c>
      <c r="BI1554" s="93">
        <f t="shared" ref="BI1554:BI1574" si="26">G1554*AP1554</f>
        <v>0</v>
      </c>
      <c r="BJ1554" s="93">
        <f t="shared" ref="BJ1554:BJ1574" si="27">G1554*H1554</f>
        <v>0</v>
      </c>
      <c r="BK1554" s="93"/>
      <c r="BL1554" s="93"/>
      <c r="BW1554" s="93" t="str">
        <f t="shared" ref="BW1554:BW1574" si="28">I1554</f>
        <v>21</v>
      </c>
      <c r="BX1554" s="2" t="s">
        <v>1646</v>
      </c>
    </row>
    <row r="1555" spans="1:76" s="81" customFormat="1" ht="25.5" x14ac:dyDescent="0.25">
      <c r="A1555" s="66" t="s">
        <v>1653</v>
      </c>
      <c r="B1555" s="72" t="s">
        <v>55</v>
      </c>
      <c r="C1555" s="72" t="s">
        <v>1651</v>
      </c>
      <c r="D1555" s="174" t="s">
        <v>1652</v>
      </c>
      <c r="E1555" s="174"/>
      <c r="F1555" s="72" t="s">
        <v>54</v>
      </c>
      <c r="G1555" s="90">
        <v>4</v>
      </c>
      <c r="H1555" s="91"/>
      <c r="I1555" s="92" t="s">
        <v>63</v>
      </c>
      <c r="J1555" s="90">
        <f t="shared" si="1"/>
        <v>0</v>
      </c>
      <c r="K1555" s="90">
        <f t="shared" si="2"/>
        <v>0</v>
      </c>
      <c r="L1555" s="90">
        <f t="shared" si="3"/>
        <v>0</v>
      </c>
      <c r="M1555" s="90">
        <f t="shared" si="4"/>
        <v>0</v>
      </c>
      <c r="N1555" s="90">
        <v>0</v>
      </c>
      <c r="O1555" s="90">
        <f t="shared" si="5"/>
        <v>0</v>
      </c>
      <c r="P1555" s="92" t="s">
        <v>1647</v>
      </c>
      <c r="Z1555" s="93">
        <f t="shared" si="6"/>
        <v>0</v>
      </c>
      <c r="AB1555" s="93">
        <f t="shared" si="7"/>
        <v>0</v>
      </c>
      <c r="AC1555" s="93">
        <f t="shared" si="8"/>
        <v>0</v>
      </c>
      <c r="AD1555" s="93">
        <f t="shared" si="9"/>
        <v>0</v>
      </c>
      <c r="AE1555" s="93">
        <f t="shared" si="10"/>
        <v>0</v>
      </c>
      <c r="AF1555" s="93">
        <f t="shared" si="11"/>
        <v>0</v>
      </c>
      <c r="AG1555" s="93">
        <f t="shared" si="12"/>
        <v>0</v>
      </c>
      <c r="AH1555" s="93">
        <f t="shared" si="13"/>
        <v>0</v>
      </c>
      <c r="AI1555" s="88" t="s">
        <v>55</v>
      </c>
      <c r="AJ1555" s="93">
        <f t="shared" si="14"/>
        <v>0</v>
      </c>
      <c r="AK1555" s="93">
        <f t="shared" si="15"/>
        <v>0</v>
      </c>
      <c r="AL1555" s="93">
        <f t="shared" si="16"/>
        <v>0</v>
      </c>
      <c r="AN1555" s="93">
        <v>21</v>
      </c>
      <c r="AO1555" s="93">
        <f t="shared" si="17"/>
        <v>0</v>
      </c>
      <c r="AP1555" s="93">
        <f t="shared" si="18"/>
        <v>0</v>
      </c>
      <c r="AQ1555" s="94" t="s">
        <v>148</v>
      </c>
      <c r="AV1555" s="93">
        <f t="shared" si="19"/>
        <v>0</v>
      </c>
      <c r="AW1555" s="93">
        <f t="shared" si="20"/>
        <v>0</v>
      </c>
      <c r="AX1555" s="93">
        <f t="shared" si="21"/>
        <v>0</v>
      </c>
      <c r="AY1555" s="94" t="s">
        <v>1648</v>
      </c>
      <c r="AZ1555" s="94" t="s">
        <v>1649</v>
      </c>
      <c r="BA1555" s="88" t="s">
        <v>67</v>
      </c>
      <c r="BC1555" s="93">
        <f t="shared" si="22"/>
        <v>0</v>
      </c>
      <c r="BD1555" s="93">
        <f t="shared" si="23"/>
        <v>0</v>
      </c>
      <c r="BE1555" s="93">
        <v>0</v>
      </c>
      <c r="BF1555" s="93">
        <f t="shared" si="24"/>
        <v>0</v>
      </c>
      <c r="BH1555" s="93">
        <f t="shared" si="25"/>
        <v>0</v>
      </c>
      <c r="BI1555" s="93">
        <f t="shared" si="26"/>
        <v>0</v>
      </c>
      <c r="BJ1555" s="93">
        <f t="shared" si="27"/>
        <v>0</v>
      </c>
      <c r="BK1555" s="93"/>
      <c r="BL1555" s="93"/>
      <c r="BW1555" s="93" t="str">
        <f t="shared" si="28"/>
        <v>21</v>
      </c>
      <c r="BX1555" s="2" t="s">
        <v>1652</v>
      </c>
    </row>
    <row r="1556" spans="1:76" s="81" customFormat="1" ht="25.5" x14ac:dyDescent="0.25">
      <c r="A1556" s="66" t="s">
        <v>1656</v>
      </c>
      <c r="B1556" s="72" t="s">
        <v>55</v>
      </c>
      <c r="C1556" s="72" t="s">
        <v>1654</v>
      </c>
      <c r="D1556" s="174" t="s">
        <v>1655</v>
      </c>
      <c r="E1556" s="174"/>
      <c r="F1556" s="72" t="s">
        <v>203</v>
      </c>
      <c r="G1556" s="90">
        <v>3</v>
      </c>
      <c r="H1556" s="91"/>
      <c r="I1556" s="92" t="s">
        <v>63</v>
      </c>
      <c r="J1556" s="90">
        <f t="shared" si="1"/>
        <v>0</v>
      </c>
      <c r="K1556" s="90">
        <f t="shared" si="2"/>
        <v>0</v>
      </c>
      <c r="L1556" s="90">
        <f t="shared" si="3"/>
        <v>0</v>
      </c>
      <c r="M1556" s="90">
        <f t="shared" si="4"/>
        <v>0</v>
      </c>
      <c r="N1556" s="90">
        <v>0</v>
      </c>
      <c r="O1556" s="90">
        <f t="shared" si="5"/>
        <v>0</v>
      </c>
      <c r="P1556" s="92" t="s">
        <v>1647</v>
      </c>
      <c r="Z1556" s="93">
        <f t="shared" si="6"/>
        <v>0</v>
      </c>
      <c r="AB1556" s="93">
        <f t="shared" si="7"/>
        <v>0</v>
      </c>
      <c r="AC1556" s="93">
        <f t="shared" si="8"/>
        <v>0</v>
      </c>
      <c r="AD1556" s="93">
        <f t="shared" si="9"/>
        <v>0</v>
      </c>
      <c r="AE1556" s="93">
        <f t="shared" si="10"/>
        <v>0</v>
      </c>
      <c r="AF1556" s="93">
        <f t="shared" si="11"/>
        <v>0</v>
      </c>
      <c r="AG1556" s="93">
        <f t="shared" si="12"/>
        <v>0</v>
      </c>
      <c r="AH1556" s="93">
        <f t="shared" si="13"/>
        <v>0</v>
      </c>
      <c r="AI1556" s="88" t="s">
        <v>55</v>
      </c>
      <c r="AJ1556" s="93">
        <f t="shared" si="14"/>
        <v>0</v>
      </c>
      <c r="AK1556" s="93">
        <f t="shared" si="15"/>
        <v>0</v>
      </c>
      <c r="AL1556" s="93">
        <f t="shared" si="16"/>
        <v>0</v>
      </c>
      <c r="AN1556" s="93">
        <v>21</v>
      </c>
      <c r="AO1556" s="93">
        <f t="shared" si="17"/>
        <v>0</v>
      </c>
      <c r="AP1556" s="93">
        <f t="shared" si="18"/>
        <v>0</v>
      </c>
      <c r="AQ1556" s="94" t="s">
        <v>148</v>
      </c>
      <c r="AV1556" s="93">
        <f t="shared" si="19"/>
        <v>0</v>
      </c>
      <c r="AW1556" s="93">
        <f t="shared" si="20"/>
        <v>0</v>
      </c>
      <c r="AX1556" s="93">
        <f t="shared" si="21"/>
        <v>0</v>
      </c>
      <c r="AY1556" s="94" t="s">
        <v>1648</v>
      </c>
      <c r="AZ1556" s="94" t="s">
        <v>1649</v>
      </c>
      <c r="BA1556" s="88" t="s">
        <v>67</v>
      </c>
      <c r="BC1556" s="93">
        <f t="shared" si="22"/>
        <v>0</v>
      </c>
      <c r="BD1556" s="93">
        <f t="shared" si="23"/>
        <v>0</v>
      </c>
      <c r="BE1556" s="93">
        <v>0</v>
      </c>
      <c r="BF1556" s="93">
        <f t="shared" si="24"/>
        <v>0</v>
      </c>
      <c r="BH1556" s="93">
        <f t="shared" si="25"/>
        <v>0</v>
      </c>
      <c r="BI1556" s="93">
        <f t="shared" si="26"/>
        <v>0</v>
      </c>
      <c r="BJ1556" s="93">
        <f t="shared" si="27"/>
        <v>0</v>
      </c>
      <c r="BK1556" s="93"/>
      <c r="BL1556" s="93"/>
      <c r="BW1556" s="93" t="str">
        <f t="shared" si="28"/>
        <v>21</v>
      </c>
      <c r="BX1556" s="2" t="s">
        <v>1655</v>
      </c>
    </row>
    <row r="1557" spans="1:76" s="81" customFormat="1" ht="25.5" x14ac:dyDescent="0.25">
      <c r="A1557" s="66" t="s">
        <v>1659</v>
      </c>
      <c r="B1557" s="72" t="s">
        <v>55</v>
      </c>
      <c r="C1557" s="72" t="s">
        <v>1657</v>
      </c>
      <c r="D1557" s="174" t="s">
        <v>1658</v>
      </c>
      <c r="E1557" s="174"/>
      <c r="F1557" s="72" t="s">
        <v>203</v>
      </c>
      <c r="G1557" s="90">
        <v>2</v>
      </c>
      <c r="H1557" s="91"/>
      <c r="I1557" s="92" t="s">
        <v>63</v>
      </c>
      <c r="J1557" s="90">
        <f t="shared" si="1"/>
        <v>0</v>
      </c>
      <c r="K1557" s="90">
        <f t="shared" si="2"/>
        <v>0</v>
      </c>
      <c r="L1557" s="90">
        <f t="shared" si="3"/>
        <v>0</v>
      </c>
      <c r="M1557" s="90">
        <f t="shared" si="4"/>
        <v>0</v>
      </c>
      <c r="N1557" s="90">
        <v>0</v>
      </c>
      <c r="O1557" s="90">
        <f t="shared" si="5"/>
        <v>0</v>
      </c>
      <c r="P1557" s="92" t="s">
        <v>1647</v>
      </c>
      <c r="Z1557" s="93">
        <f t="shared" si="6"/>
        <v>0</v>
      </c>
      <c r="AB1557" s="93">
        <f t="shared" si="7"/>
        <v>0</v>
      </c>
      <c r="AC1557" s="93">
        <f t="shared" si="8"/>
        <v>0</v>
      </c>
      <c r="AD1557" s="93">
        <f t="shared" si="9"/>
        <v>0</v>
      </c>
      <c r="AE1557" s="93">
        <f t="shared" si="10"/>
        <v>0</v>
      </c>
      <c r="AF1557" s="93">
        <f t="shared" si="11"/>
        <v>0</v>
      </c>
      <c r="AG1557" s="93">
        <f t="shared" si="12"/>
        <v>0</v>
      </c>
      <c r="AH1557" s="93">
        <f t="shared" si="13"/>
        <v>0</v>
      </c>
      <c r="AI1557" s="88" t="s">
        <v>55</v>
      </c>
      <c r="AJ1557" s="93">
        <f t="shared" si="14"/>
        <v>0</v>
      </c>
      <c r="AK1557" s="93">
        <f t="shared" si="15"/>
        <v>0</v>
      </c>
      <c r="AL1557" s="93">
        <f t="shared" si="16"/>
        <v>0</v>
      </c>
      <c r="AN1557" s="93">
        <v>21</v>
      </c>
      <c r="AO1557" s="93">
        <f t="shared" si="17"/>
        <v>0</v>
      </c>
      <c r="AP1557" s="93">
        <f t="shared" si="18"/>
        <v>0</v>
      </c>
      <c r="AQ1557" s="94" t="s">
        <v>148</v>
      </c>
      <c r="AV1557" s="93">
        <f t="shared" si="19"/>
        <v>0</v>
      </c>
      <c r="AW1557" s="93">
        <f t="shared" si="20"/>
        <v>0</v>
      </c>
      <c r="AX1557" s="93">
        <f t="shared" si="21"/>
        <v>0</v>
      </c>
      <c r="AY1557" s="94" t="s">
        <v>1648</v>
      </c>
      <c r="AZ1557" s="94" t="s">
        <v>1649</v>
      </c>
      <c r="BA1557" s="88" t="s">
        <v>67</v>
      </c>
      <c r="BC1557" s="93">
        <f t="shared" si="22"/>
        <v>0</v>
      </c>
      <c r="BD1557" s="93">
        <f t="shared" si="23"/>
        <v>0</v>
      </c>
      <c r="BE1557" s="93">
        <v>0</v>
      </c>
      <c r="BF1557" s="93">
        <f t="shared" si="24"/>
        <v>0</v>
      </c>
      <c r="BH1557" s="93">
        <f t="shared" si="25"/>
        <v>0</v>
      </c>
      <c r="BI1557" s="93">
        <f t="shared" si="26"/>
        <v>0</v>
      </c>
      <c r="BJ1557" s="93">
        <f t="shared" si="27"/>
        <v>0</v>
      </c>
      <c r="BK1557" s="93"/>
      <c r="BL1557" s="93"/>
      <c r="BW1557" s="93" t="str">
        <f t="shared" si="28"/>
        <v>21</v>
      </c>
      <c r="BX1557" s="2" t="s">
        <v>1658</v>
      </c>
    </row>
    <row r="1558" spans="1:76" s="81" customFormat="1" ht="25.5" x14ac:dyDescent="0.25">
      <c r="A1558" s="66" t="s">
        <v>1662</v>
      </c>
      <c r="B1558" s="72" t="s">
        <v>55</v>
      </c>
      <c r="C1558" s="72" t="s">
        <v>1660</v>
      </c>
      <c r="D1558" s="174" t="s">
        <v>1661</v>
      </c>
      <c r="E1558" s="174"/>
      <c r="F1558" s="72" t="s">
        <v>203</v>
      </c>
      <c r="G1558" s="90">
        <v>3</v>
      </c>
      <c r="H1558" s="91"/>
      <c r="I1558" s="92" t="s">
        <v>63</v>
      </c>
      <c r="J1558" s="90">
        <f t="shared" si="1"/>
        <v>0</v>
      </c>
      <c r="K1558" s="90">
        <f t="shared" si="2"/>
        <v>0</v>
      </c>
      <c r="L1558" s="90">
        <f t="shared" si="3"/>
        <v>0</v>
      </c>
      <c r="M1558" s="90">
        <f t="shared" si="4"/>
        <v>0</v>
      </c>
      <c r="N1558" s="90">
        <v>0</v>
      </c>
      <c r="O1558" s="90">
        <f t="shared" si="5"/>
        <v>0</v>
      </c>
      <c r="P1558" s="92" t="s">
        <v>1647</v>
      </c>
      <c r="Z1558" s="93">
        <f t="shared" si="6"/>
        <v>0</v>
      </c>
      <c r="AB1558" s="93">
        <f t="shared" si="7"/>
        <v>0</v>
      </c>
      <c r="AC1558" s="93">
        <f t="shared" si="8"/>
        <v>0</v>
      </c>
      <c r="AD1558" s="93">
        <f t="shared" si="9"/>
        <v>0</v>
      </c>
      <c r="AE1558" s="93">
        <f t="shared" si="10"/>
        <v>0</v>
      </c>
      <c r="AF1558" s="93">
        <f t="shared" si="11"/>
        <v>0</v>
      </c>
      <c r="AG1558" s="93">
        <f t="shared" si="12"/>
        <v>0</v>
      </c>
      <c r="AH1558" s="93">
        <f t="shared" si="13"/>
        <v>0</v>
      </c>
      <c r="AI1558" s="88" t="s">
        <v>55</v>
      </c>
      <c r="AJ1558" s="93">
        <f t="shared" si="14"/>
        <v>0</v>
      </c>
      <c r="AK1558" s="93">
        <f t="shared" si="15"/>
        <v>0</v>
      </c>
      <c r="AL1558" s="93">
        <f t="shared" si="16"/>
        <v>0</v>
      </c>
      <c r="AN1558" s="93">
        <v>21</v>
      </c>
      <c r="AO1558" s="93">
        <f t="shared" si="17"/>
        <v>0</v>
      </c>
      <c r="AP1558" s="93">
        <f t="shared" si="18"/>
        <v>0</v>
      </c>
      <c r="AQ1558" s="94" t="s">
        <v>148</v>
      </c>
      <c r="AV1558" s="93">
        <f t="shared" si="19"/>
        <v>0</v>
      </c>
      <c r="AW1558" s="93">
        <f t="shared" si="20"/>
        <v>0</v>
      </c>
      <c r="AX1558" s="93">
        <f t="shared" si="21"/>
        <v>0</v>
      </c>
      <c r="AY1558" s="94" t="s">
        <v>1648</v>
      </c>
      <c r="AZ1558" s="94" t="s">
        <v>1649</v>
      </c>
      <c r="BA1558" s="88" t="s">
        <v>67</v>
      </c>
      <c r="BC1558" s="93">
        <f t="shared" si="22"/>
        <v>0</v>
      </c>
      <c r="BD1558" s="93">
        <f t="shared" si="23"/>
        <v>0</v>
      </c>
      <c r="BE1558" s="93">
        <v>0</v>
      </c>
      <c r="BF1558" s="93">
        <f t="shared" si="24"/>
        <v>0</v>
      </c>
      <c r="BH1558" s="93">
        <f t="shared" si="25"/>
        <v>0</v>
      </c>
      <c r="BI1558" s="93">
        <f t="shared" si="26"/>
        <v>0</v>
      </c>
      <c r="BJ1558" s="93">
        <f t="shared" si="27"/>
        <v>0</v>
      </c>
      <c r="BK1558" s="93"/>
      <c r="BL1558" s="93"/>
      <c r="BW1558" s="93" t="str">
        <f t="shared" si="28"/>
        <v>21</v>
      </c>
      <c r="BX1558" s="2" t="s">
        <v>1661</v>
      </c>
    </row>
    <row r="1559" spans="1:76" s="81" customFormat="1" ht="25.5" x14ac:dyDescent="0.25">
      <c r="A1559" s="66" t="s">
        <v>1665</v>
      </c>
      <c r="B1559" s="72" t="s">
        <v>55</v>
      </c>
      <c r="C1559" s="72" t="s">
        <v>1663</v>
      </c>
      <c r="D1559" s="174" t="s">
        <v>1664</v>
      </c>
      <c r="E1559" s="174"/>
      <c r="F1559" s="72" t="s">
        <v>203</v>
      </c>
      <c r="G1559" s="90">
        <v>8</v>
      </c>
      <c r="H1559" s="91"/>
      <c r="I1559" s="92" t="s">
        <v>63</v>
      </c>
      <c r="J1559" s="90">
        <f t="shared" si="1"/>
        <v>0</v>
      </c>
      <c r="K1559" s="90">
        <f t="shared" si="2"/>
        <v>0</v>
      </c>
      <c r="L1559" s="90">
        <f t="shared" si="3"/>
        <v>0</v>
      </c>
      <c r="M1559" s="90">
        <f t="shared" si="4"/>
        <v>0</v>
      </c>
      <c r="N1559" s="90">
        <v>0</v>
      </c>
      <c r="O1559" s="90">
        <f t="shared" si="5"/>
        <v>0</v>
      </c>
      <c r="P1559" s="92" t="s">
        <v>1647</v>
      </c>
      <c r="Z1559" s="93">
        <f t="shared" si="6"/>
        <v>0</v>
      </c>
      <c r="AB1559" s="93">
        <f t="shared" si="7"/>
        <v>0</v>
      </c>
      <c r="AC1559" s="93">
        <f t="shared" si="8"/>
        <v>0</v>
      </c>
      <c r="AD1559" s="93">
        <f t="shared" si="9"/>
        <v>0</v>
      </c>
      <c r="AE1559" s="93">
        <f t="shared" si="10"/>
        <v>0</v>
      </c>
      <c r="AF1559" s="93">
        <f t="shared" si="11"/>
        <v>0</v>
      </c>
      <c r="AG1559" s="93">
        <f t="shared" si="12"/>
        <v>0</v>
      </c>
      <c r="AH1559" s="93">
        <f t="shared" si="13"/>
        <v>0</v>
      </c>
      <c r="AI1559" s="88" t="s">
        <v>55</v>
      </c>
      <c r="AJ1559" s="93">
        <f t="shared" si="14"/>
        <v>0</v>
      </c>
      <c r="AK1559" s="93">
        <f t="shared" si="15"/>
        <v>0</v>
      </c>
      <c r="AL1559" s="93">
        <f t="shared" si="16"/>
        <v>0</v>
      </c>
      <c r="AN1559" s="93">
        <v>21</v>
      </c>
      <c r="AO1559" s="93">
        <f t="shared" si="17"/>
        <v>0</v>
      </c>
      <c r="AP1559" s="93">
        <f t="shared" si="18"/>
        <v>0</v>
      </c>
      <c r="AQ1559" s="94" t="s">
        <v>148</v>
      </c>
      <c r="AV1559" s="93">
        <f t="shared" si="19"/>
        <v>0</v>
      </c>
      <c r="AW1559" s="93">
        <f t="shared" si="20"/>
        <v>0</v>
      </c>
      <c r="AX1559" s="93">
        <f t="shared" si="21"/>
        <v>0</v>
      </c>
      <c r="AY1559" s="94" t="s">
        <v>1648</v>
      </c>
      <c r="AZ1559" s="94" t="s">
        <v>1649</v>
      </c>
      <c r="BA1559" s="88" t="s">
        <v>67</v>
      </c>
      <c r="BC1559" s="93">
        <f t="shared" si="22"/>
        <v>0</v>
      </c>
      <c r="BD1559" s="93">
        <f t="shared" si="23"/>
        <v>0</v>
      </c>
      <c r="BE1559" s="93">
        <v>0</v>
      </c>
      <c r="BF1559" s="93">
        <f t="shared" si="24"/>
        <v>0</v>
      </c>
      <c r="BH1559" s="93">
        <f t="shared" si="25"/>
        <v>0</v>
      </c>
      <c r="BI1559" s="93">
        <f t="shared" si="26"/>
        <v>0</v>
      </c>
      <c r="BJ1559" s="93">
        <f t="shared" si="27"/>
        <v>0</v>
      </c>
      <c r="BK1559" s="93"/>
      <c r="BL1559" s="93"/>
      <c r="BW1559" s="93" t="str">
        <f t="shared" si="28"/>
        <v>21</v>
      </c>
      <c r="BX1559" s="2" t="s">
        <v>1664</v>
      </c>
    </row>
    <row r="1560" spans="1:76" s="81" customFormat="1" ht="25.5" x14ac:dyDescent="0.25">
      <c r="A1560" s="66" t="s">
        <v>1668</v>
      </c>
      <c r="B1560" s="72" t="s">
        <v>55</v>
      </c>
      <c r="C1560" s="72" t="s">
        <v>1666</v>
      </c>
      <c r="D1560" s="174" t="s">
        <v>1667</v>
      </c>
      <c r="E1560" s="174"/>
      <c r="F1560" s="72" t="s">
        <v>203</v>
      </c>
      <c r="G1560" s="90">
        <v>2</v>
      </c>
      <c r="H1560" s="91"/>
      <c r="I1560" s="92" t="s">
        <v>63</v>
      </c>
      <c r="J1560" s="90">
        <f t="shared" si="1"/>
        <v>0</v>
      </c>
      <c r="K1560" s="90">
        <f t="shared" si="2"/>
        <v>0</v>
      </c>
      <c r="L1560" s="90">
        <f t="shared" si="3"/>
        <v>0</v>
      </c>
      <c r="M1560" s="90">
        <f t="shared" si="4"/>
        <v>0</v>
      </c>
      <c r="N1560" s="90">
        <v>0</v>
      </c>
      <c r="O1560" s="90">
        <f t="shared" si="5"/>
        <v>0</v>
      </c>
      <c r="P1560" s="92" t="s">
        <v>1647</v>
      </c>
      <c r="Z1560" s="93">
        <f t="shared" si="6"/>
        <v>0</v>
      </c>
      <c r="AB1560" s="93">
        <f t="shared" si="7"/>
        <v>0</v>
      </c>
      <c r="AC1560" s="93">
        <f t="shared" si="8"/>
        <v>0</v>
      </c>
      <c r="AD1560" s="93">
        <f t="shared" si="9"/>
        <v>0</v>
      </c>
      <c r="AE1560" s="93">
        <f t="shared" si="10"/>
        <v>0</v>
      </c>
      <c r="AF1560" s="93">
        <f t="shared" si="11"/>
        <v>0</v>
      </c>
      <c r="AG1560" s="93">
        <f t="shared" si="12"/>
        <v>0</v>
      </c>
      <c r="AH1560" s="93">
        <f t="shared" si="13"/>
        <v>0</v>
      </c>
      <c r="AI1560" s="88" t="s">
        <v>55</v>
      </c>
      <c r="AJ1560" s="93">
        <f t="shared" si="14"/>
        <v>0</v>
      </c>
      <c r="AK1560" s="93">
        <f t="shared" si="15"/>
        <v>0</v>
      </c>
      <c r="AL1560" s="93">
        <f t="shared" si="16"/>
        <v>0</v>
      </c>
      <c r="AN1560" s="93">
        <v>21</v>
      </c>
      <c r="AO1560" s="93">
        <f t="shared" si="17"/>
        <v>0</v>
      </c>
      <c r="AP1560" s="93">
        <f t="shared" si="18"/>
        <v>0</v>
      </c>
      <c r="AQ1560" s="94" t="s">
        <v>148</v>
      </c>
      <c r="AV1560" s="93">
        <f t="shared" si="19"/>
        <v>0</v>
      </c>
      <c r="AW1560" s="93">
        <f t="shared" si="20"/>
        <v>0</v>
      </c>
      <c r="AX1560" s="93">
        <f t="shared" si="21"/>
        <v>0</v>
      </c>
      <c r="AY1560" s="94" t="s">
        <v>1648</v>
      </c>
      <c r="AZ1560" s="94" t="s">
        <v>1649</v>
      </c>
      <c r="BA1560" s="88" t="s">
        <v>67</v>
      </c>
      <c r="BC1560" s="93">
        <f t="shared" si="22"/>
        <v>0</v>
      </c>
      <c r="BD1560" s="93">
        <f t="shared" si="23"/>
        <v>0</v>
      </c>
      <c r="BE1560" s="93">
        <v>0</v>
      </c>
      <c r="BF1560" s="93">
        <f t="shared" si="24"/>
        <v>0</v>
      </c>
      <c r="BH1560" s="93">
        <f t="shared" si="25"/>
        <v>0</v>
      </c>
      <c r="BI1560" s="93">
        <f t="shared" si="26"/>
        <v>0</v>
      </c>
      <c r="BJ1560" s="93">
        <f t="shared" si="27"/>
        <v>0</v>
      </c>
      <c r="BK1560" s="93"/>
      <c r="BL1560" s="93"/>
      <c r="BW1560" s="93" t="str">
        <f t="shared" si="28"/>
        <v>21</v>
      </c>
      <c r="BX1560" s="2" t="s">
        <v>1667</v>
      </c>
    </row>
    <row r="1561" spans="1:76" s="81" customFormat="1" ht="25.5" x14ac:dyDescent="0.25">
      <c r="A1561" s="66" t="s">
        <v>1672</v>
      </c>
      <c r="B1561" s="72" t="s">
        <v>55</v>
      </c>
      <c r="C1561" s="72" t="s">
        <v>1669</v>
      </c>
      <c r="D1561" s="174" t="s">
        <v>1670</v>
      </c>
      <c r="E1561" s="174"/>
      <c r="F1561" s="72" t="s">
        <v>1671</v>
      </c>
      <c r="G1561" s="90">
        <v>4</v>
      </c>
      <c r="H1561" s="91"/>
      <c r="I1561" s="92" t="s">
        <v>63</v>
      </c>
      <c r="J1561" s="90">
        <f t="shared" si="1"/>
        <v>0</v>
      </c>
      <c r="K1561" s="90">
        <f t="shared" si="2"/>
        <v>0</v>
      </c>
      <c r="L1561" s="90">
        <f t="shared" si="3"/>
        <v>0</v>
      </c>
      <c r="M1561" s="90">
        <f t="shared" si="4"/>
        <v>0</v>
      </c>
      <c r="N1561" s="90">
        <v>0</v>
      </c>
      <c r="O1561" s="90">
        <f t="shared" si="5"/>
        <v>0</v>
      </c>
      <c r="P1561" s="92" t="s">
        <v>1647</v>
      </c>
      <c r="Z1561" s="93">
        <f t="shared" si="6"/>
        <v>0</v>
      </c>
      <c r="AB1561" s="93">
        <f t="shared" si="7"/>
        <v>0</v>
      </c>
      <c r="AC1561" s="93">
        <f t="shared" si="8"/>
        <v>0</v>
      </c>
      <c r="AD1561" s="93">
        <f t="shared" si="9"/>
        <v>0</v>
      </c>
      <c r="AE1561" s="93">
        <f t="shared" si="10"/>
        <v>0</v>
      </c>
      <c r="AF1561" s="93">
        <f t="shared" si="11"/>
        <v>0</v>
      </c>
      <c r="AG1561" s="93">
        <f t="shared" si="12"/>
        <v>0</v>
      </c>
      <c r="AH1561" s="93">
        <f t="shared" si="13"/>
        <v>0</v>
      </c>
      <c r="AI1561" s="88" t="s">
        <v>55</v>
      </c>
      <c r="AJ1561" s="93">
        <f t="shared" si="14"/>
        <v>0</v>
      </c>
      <c r="AK1561" s="93">
        <f t="shared" si="15"/>
        <v>0</v>
      </c>
      <c r="AL1561" s="93">
        <f t="shared" si="16"/>
        <v>0</v>
      </c>
      <c r="AN1561" s="93">
        <v>21</v>
      </c>
      <c r="AO1561" s="93">
        <f t="shared" si="17"/>
        <v>0</v>
      </c>
      <c r="AP1561" s="93">
        <f t="shared" si="18"/>
        <v>0</v>
      </c>
      <c r="AQ1561" s="94" t="s">
        <v>148</v>
      </c>
      <c r="AV1561" s="93">
        <f t="shared" si="19"/>
        <v>0</v>
      </c>
      <c r="AW1561" s="93">
        <f t="shared" si="20"/>
        <v>0</v>
      </c>
      <c r="AX1561" s="93">
        <f t="shared" si="21"/>
        <v>0</v>
      </c>
      <c r="AY1561" s="94" t="s">
        <v>1648</v>
      </c>
      <c r="AZ1561" s="94" t="s">
        <v>1649</v>
      </c>
      <c r="BA1561" s="88" t="s">
        <v>67</v>
      </c>
      <c r="BC1561" s="93">
        <f t="shared" si="22"/>
        <v>0</v>
      </c>
      <c r="BD1561" s="93">
        <f t="shared" si="23"/>
        <v>0</v>
      </c>
      <c r="BE1561" s="93">
        <v>0</v>
      </c>
      <c r="BF1561" s="93">
        <f t="shared" si="24"/>
        <v>0</v>
      </c>
      <c r="BH1561" s="93">
        <f t="shared" si="25"/>
        <v>0</v>
      </c>
      <c r="BI1561" s="93">
        <f t="shared" si="26"/>
        <v>0</v>
      </c>
      <c r="BJ1561" s="93">
        <f t="shared" si="27"/>
        <v>0</v>
      </c>
      <c r="BK1561" s="93"/>
      <c r="BL1561" s="93"/>
      <c r="BW1561" s="93" t="str">
        <f t="shared" si="28"/>
        <v>21</v>
      </c>
      <c r="BX1561" s="2" t="s">
        <v>1670</v>
      </c>
    </row>
    <row r="1562" spans="1:76" s="81" customFormat="1" ht="25.5" x14ac:dyDescent="0.25">
      <c r="A1562" s="66" t="s">
        <v>1675</v>
      </c>
      <c r="B1562" s="72" t="s">
        <v>55</v>
      </c>
      <c r="C1562" s="72" t="s">
        <v>1673</v>
      </c>
      <c r="D1562" s="174" t="s">
        <v>1674</v>
      </c>
      <c r="E1562" s="174"/>
      <c r="F1562" s="72" t="s">
        <v>1671</v>
      </c>
      <c r="G1562" s="90">
        <v>5</v>
      </c>
      <c r="H1562" s="91"/>
      <c r="I1562" s="92" t="s">
        <v>63</v>
      </c>
      <c r="J1562" s="90">
        <f t="shared" si="1"/>
        <v>0</v>
      </c>
      <c r="K1562" s="90">
        <f t="shared" si="2"/>
        <v>0</v>
      </c>
      <c r="L1562" s="90">
        <f t="shared" si="3"/>
        <v>0</v>
      </c>
      <c r="M1562" s="90">
        <f t="shared" si="4"/>
        <v>0</v>
      </c>
      <c r="N1562" s="90">
        <v>0</v>
      </c>
      <c r="O1562" s="90">
        <f t="shared" si="5"/>
        <v>0</v>
      </c>
      <c r="P1562" s="92" t="s">
        <v>1647</v>
      </c>
      <c r="Z1562" s="93">
        <f t="shared" si="6"/>
        <v>0</v>
      </c>
      <c r="AB1562" s="93">
        <f t="shared" si="7"/>
        <v>0</v>
      </c>
      <c r="AC1562" s="93">
        <f t="shared" si="8"/>
        <v>0</v>
      </c>
      <c r="AD1562" s="93">
        <f t="shared" si="9"/>
        <v>0</v>
      </c>
      <c r="AE1562" s="93">
        <f t="shared" si="10"/>
        <v>0</v>
      </c>
      <c r="AF1562" s="93">
        <f t="shared" si="11"/>
        <v>0</v>
      </c>
      <c r="AG1562" s="93">
        <f t="shared" si="12"/>
        <v>0</v>
      </c>
      <c r="AH1562" s="93">
        <f t="shared" si="13"/>
        <v>0</v>
      </c>
      <c r="AI1562" s="88" t="s">
        <v>55</v>
      </c>
      <c r="AJ1562" s="93">
        <f t="shared" si="14"/>
        <v>0</v>
      </c>
      <c r="AK1562" s="93">
        <f t="shared" si="15"/>
        <v>0</v>
      </c>
      <c r="AL1562" s="93">
        <f t="shared" si="16"/>
        <v>0</v>
      </c>
      <c r="AN1562" s="93">
        <v>21</v>
      </c>
      <c r="AO1562" s="93">
        <f t="shared" si="17"/>
        <v>0</v>
      </c>
      <c r="AP1562" s="93">
        <f t="shared" si="18"/>
        <v>0</v>
      </c>
      <c r="AQ1562" s="94" t="s">
        <v>148</v>
      </c>
      <c r="AV1562" s="93">
        <f t="shared" si="19"/>
        <v>0</v>
      </c>
      <c r="AW1562" s="93">
        <f t="shared" si="20"/>
        <v>0</v>
      </c>
      <c r="AX1562" s="93">
        <f t="shared" si="21"/>
        <v>0</v>
      </c>
      <c r="AY1562" s="94" t="s">
        <v>1648</v>
      </c>
      <c r="AZ1562" s="94" t="s">
        <v>1649</v>
      </c>
      <c r="BA1562" s="88" t="s">
        <v>67</v>
      </c>
      <c r="BC1562" s="93">
        <f t="shared" si="22"/>
        <v>0</v>
      </c>
      <c r="BD1562" s="93">
        <f t="shared" si="23"/>
        <v>0</v>
      </c>
      <c r="BE1562" s="93">
        <v>0</v>
      </c>
      <c r="BF1562" s="93">
        <f t="shared" si="24"/>
        <v>0</v>
      </c>
      <c r="BH1562" s="93">
        <f t="shared" si="25"/>
        <v>0</v>
      </c>
      <c r="BI1562" s="93">
        <f t="shared" si="26"/>
        <v>0</v>
      </c>
      <c r="BJ1562" s="93">
        <f t="shared" si="27"/>
        <v>0</v>
      </c>
      <c r="BK1562" s="93"/>
      <c r="BL1562" s="93"/>
      <c r="BW1562" s="93" t="str">
        <f t="shared" si="28"/>
        <v>21</v>
      </c>
      <c r="BX1562" s="2" t="s">
        <v>1674</v>
      </c>
    </row>
    <row r="1563" spans="1:76" s="81" customFormat="1" ht="25.5" x14ac:dyDescent="0.25">
      <c r="A1563" s="66" t="s">
        <v>1678</v>
      </c>
      <c r="B1563" s="72" t="s">
        <v>55</v>
      </c>
      <c r="C1563" s="72" t="s">
        <v>1676</v>
      </c>
      <c r="D1563" s="174" t="s">
        <v>1677</v>
      </c>
      <c r="E1563" s="174"/>
      <c r="F1563" s="72" t="s">
        <v>203</v>
      </c>
      <c r="G1563" s="90">
        <v>2</v>
      </c>
      <c r="H1563" s="91"/>
      <c r="I1563" s="92" t="s">
        <v>63</v>
      </c>
      <c r="J1563" s="90">
        <f t="shared" si="1"/>
        <v>0</v>
      </c>
      <c r="K1563" s="90">
        <f t="shared" si="2"/>
        <v>0</v>
      </c>
      <c r="L1563" s="90">
        <f t="shared" si="3"/>
        <v>0</v>
      </c>
      <c r="M1563" s="90">
        <f t="shared" si="4"/>
        <v>0</v>
      </c>
      <c r="N1563" s="90">
        <v>0</v>
      </c>
      <c r="O1563" s="90">
        <f t="shared" si="5"/>
        <v>0</v>
      </c>
      <c r="P1563" s="92" t="s">
        <v>1647</v>
      </c>
      <c r="Z1563" s="93">
        <f t="shared" si="6"/>
        <v>0</v>
      </c>
      <c r="AB1563" s="93">
        <f t="shared" si="7"/>
        <v>0</v>
      </c>
      <c r="AC1563" s="93">
        <f t="shared" si="8"/>
        <v>0</v>
      </c>
      <c r="AD1563" s="93">
        <f t="shared" si="9"/>
        <v>0</v>
      </c>
      <c r="AE1563" s="93">
        <f t="shared" si="10"/>
        <v>0</v>
      </c>
      <c r="AF1563" s="93">
        <f t="shared" si="11"/>
        <v>0</v>
      </c>
      <c r="AG1563" s="93">
        <f t="shared" si="12"/>
        <v>0</v>
      </c>
      <c r="AH1563" s="93">
        <f t="shared" si="13"/>
        <v>0</v>
      </c>
      <c r="AI1563" s="88" t="s">
        <v>55</v>
      </c>
      <c r="AJ1563" s="93">
        <f t="shared" si="14"/>
        <v>0</v>
      </c>
      <c r="AK1563" s="93">
        <f t="shared" si="15"/>
        <v>0</v>
      </c>
      <c r="AL1563" s="93">
        <f t="shared" si="16"/>
        <v>0</v>
      </c>
      <c r="AN1563" s="93">
        <v>21</v>
      </c>
      <c r="AO1563" s="93">
        <f t="shared" si="17"/>
        <v>0</v>
      </c>
      <c r="AP1563" s="93">
        <f t="shared" si="18"/>
        <v>0</v>
      </c>
      <c r="AQ1563" s="94" t="s">
        <v>148</v>
      </c>
      <c r="AV1563" s="93">
        <f t="shared" si="19"/>
        <v>0</v>
      </c>
      <c r="AW1563" s="93">
        <f t="shared" si="20"/>
        <v>0</v>
      </c>
      <c r="AX1563" s="93">
        <f t="shared" si="21"/>
        <v>0</v>
      </c>
      <c r="AY1563" s="94" t="s">
        <v>1648</v>
      </c>
      <c r="AZ1563" s="94" t="s">
        <v>1649</v>
      </c>
      <c r="BA1563" s="88" t="s">
        <v>67</v>
      </c>
      <c r="BC1563" s="93">
        <f t="shared" si="22"/>
        <v>0</v>
      </c>
      <c r="BD1563" s="93">
        <f t="shared" si="23"/>
        <v>0</v>
      </c>
      <c r="BE1563" s="93">
        <v>0</v>
      </c>
      <c r="BF1563" s="93">
        <f t="shared" si="24"/>
        <v>0</v>
      </c>
      <c r="BH1563" s="93">
        <f t="shared" si="25"/>
        <v>0</v>
      </c>
      <c r="BI1563" s="93">
        <f t="shared" si="26"/>
        <v>0</v>
      </c>
      <c r="BJ1563" s="93">
        <f t="shared" si="27"/>
        <v>0</v>
      </c>
      <c r="BK1563" s="93"/>
      <c r="BL1563" s="93"/>
      <c r="BW1563" s="93" t="str">
        <f t="shared" si="28"/>
        <v>21</v>
      </c>
      <c r="BX1563" s="2" t="s">
        <v>1677</v>
      </c>
    </row>
    <row r="1564" spans="1:76" s="81" customFormat="1" ht="25.5" x14ac:dyDescent="0.25">
      <c r="A1564" s="66" t="s">
        <v>1681</v>
      </c>
      <c r="B1564" s="72" t="s">
        <v>55</v>
      </c>
      <c r="C1564" s="72" t="s">
        <v>1679</v>
      </c>
      <c r="D1564" s="174" t="s">
        <v>1680</v>
      </c>
      <c r="E1564" s="174"/>
      <c r="F1564" s="72" t="s">
        <v>203</v>
      </c>
      <c r="G1564" s="90">
        <v>3</v>
      </c>
      <c r="H1564" s="91"/>
      <c r="I1564" s="92" t="s">
        <v>63</v>
      </c>
      <c r="J1564" s="90">
        <f t="shared" si="1"/>
        <v>0</v>
      </c>
      <c r="K1564" s="90">
        <f t="shared" si="2"/>
        <v>0</v>
      </c>
      <c r="L1564" s="90">
        <f t="shared" si="3"/>
        <v>0</v>
      </c>
      <c r="M1564" s="90">
        <f t="shared" si="4"/>
        <v>0</v>
      </c>
      <c r="N1564" s="90">
        <v>0</v>
      </c>
      <c r="O1564" s="90">
        <f t="shared" si="5"/>
        <v>0</v>
      </c>
      <c r="P1564" s="92" t="s">
        <v>1647</v>
      </c>
      <c r="Z1564" s="93">
        <f t="shared" si="6"/>
        <v>0</v>
      </c>
      <c r="AB1564" s="93">
        <f t="shared" si="7"/>
        <v>0</v>
      </c>
      <c r="AC1564" s="93">
        <f t="shared" si="8"/>
        <v>0</v>
      </c>
      <c r="AD1564" s="93">
        <f t="shared" si="9"/>
        <v>0</v>
      </c>
      <c r="AE1564" s="93">
        <f t="shared" si="10"/>
        <v>0</v>
      </c>
      <c r="AF1564" s="93">
        <f t="shared" si="11"/>
        <v>0</v>
      </c>
      <c r="AG1564" s="93">
        <f t="shared" si="12"/>
        <v>0</v>
      </c>
      <c r="AH1564" s="93">
        <f t="shared" si="13"/>
        <v>0</v>
      </c>
      <c r="AI1564" s="88" t="s">
        <v>55</v>
      </c>
      <c r="AJ1564" s="93">
        <f t="shared" si="14"/>
        <v>0</v>
      </c>
      <c r="AK1564" s="93">
        <f t="shared" si="15"/>
        <v>0</v>
      </c>
      <c r="AL1564" s="93">
        <f t="shared" si="16"/>
        <v>0</v>
      </c>
      <c r="AN1564" s="93">
        <v>21</v>
      </c>
      <c r="AO1564" s="93">
        <f t="shared" si="17"/>
        <v>0</v>
      </c>
      <c r="AP1564" s="93">
        <f t="shared" si="18"/>
        <v>0</v>
      </c>
      <c r="AQ1564" s="94" t="s">
        <v>148</v>
      </c>
      <c r="AV1564" s="93">
        <f t="shared" si="19"/>
        <v>0</v>
      </c>
      <c r="AW1564" s="93">
        <f t="shared" si="20"/>
        <v>0</v>
      </c>
      <c r="AX1564" s="93">
        <f t="shared" si="21"/>
        <v>0</v>
      </c>
      <c r="AY1564" s="94" t="s">
        <v>1648</v>
      </c>
      <c r="AZ1564" s="94" t="s">
        <v>1649</v>
      </c>
      <c r="BA1564" s="88" t="s">
        <v>67</v>
      </c>
      <c r="BC1564" s="93">
        <f t="shared" si="22"/>
        <v>0</v>
      </c>
      <c r="BD1564" s="93">
        <f t="shared" si="23"/>
        <v>0</v>
      </c>
      <c r="BE1564" s="93">
        <v>0</v>
      </c>
      <c r="BF1564" s="93">
        <f t="shared" si="24"/>
        <v>0</v>
      </c>
      <c r="BH1564" s="93">
        <f t="shared" si="25"/>
        <v>0</v>
      </c>
      <c r="BI1564" s="93">
        <f t="shared" si="26"/>
        <v>0</v>
      </c>
      <c r="BJ1564" s="93">
        <f t="shared" si="27"/>
        <v>0</v>
      </c>
      <c r="BK1564" s="93"/>
      <c r="BL1564" s="93"/>
      <c r="BW1564" s="93" t="str">
        <f t="shared" si="28"/>
        <v>21</v>
      </c>
      <c r="BX1564" s="2" t="s">
        <v>1680</v>
      </c>
    </row>
    <row r="1565" spans="1:76" s="81" customFormat="1" ht="25.5" x14ac:dyDescent="0.25">
      <c r="A1565" s="66" t="s">
        <v>1684</v>
      </c>
      <c r="B1565" s="72" t="s">
        <v>55</v>
      </c>
      <c r="C1565" s="72" t="s">
        <v>1682</v>
      </c>
      <c r="D1565" s="174" t="s">
        <v>1683</v>
      </c>
      <c r="E1565" s="174"/>
      <c r="F1565" s="72" t="s">
        <v>203</v>
      </c>
      <c r="G1565" s="90">
        <v>8</v>
      </c>
      <c r="H1565" s="91"/>
      <c r="I1565" s="92" t="s">
        <v>63</v>
      </c>
      <c r="J1565" s="90">
        <f t="shared" si="1"/>
        <v>0</v>
      </c>
      <c r="K1565" s="90">
        <f t="shared" si="2"/>
        <v>0</v>
      </c>
      <c r="L1565" s="90">
        <f t="shared" si="3"/>
        <v>0</v>
      </c>
      <c r="M1565" s="90">
        <f t="shared" si="4"/>
        <v>0</v>
      </c>
      <c r="N1565" s="90">
        <v>0</v>
      </c>
      <c r="O1565" s="90">
        <f t="shared" si="5"/>
        <v>0</v>
      </c>
      <c r="P1565" s="92" t="s">
        <v>1647</v>
      </c>
      <c r="Z1565" s="93">
        <f t="shared" si="6"/>
        <v>0</v>
      </c>
      <c r="AB1565" s="93">
        <f t="shared" si="7"/>
        <v>0</v>
      </c>
      <c r="AC1565" s="93">
        <f t="shared" si="8"/>
        <v>0</v>
      </c>
      <c r="AD1565" s="93">
        <f t="shared" si="9"/>
        <v>0</v>
      </c>
      <c r="AE1565" s="93">
        <f t="shared" si="10"/>
        <v>0</v>
      </c>
      <c r="AF1565" s="93">
        <f t="shared" si="11"/>
        <v>0</v>
      </c>
      <c r="AG1565" s="93">
        <f t="shared" si="12"/>
        <v>0</v>
      </c>
      <c r="AH1565" s="93">
        <f t="shared" si="13"/>
        <v>0</v>
      </c>
      <c r="AI1565" s="88" t="s">
        <v>55</v>
      </c>
      <c r="AJ1565" s="93">
        <f t="shared" si="14"/>
        <v>0</v>
      </c>
      <c r="AK1565" s="93">
        <f t="shared" si="15"/>
        <v>0</v>
      </c>
      <c r="AL1565" s="93">
        <f t="shared" si="16"/>
        <v>0</v>
      </c>
      <c r="AN1565" s="93">
        <v>21</v>
      </c>
      <c r="AO1565" s="93">
        <f t="shared" si="17"/>
        <v>0</v>
      </c>
      <c r="AP1565" s="93">
        <f t="shared" si="18"/>
        <v>0</v>
      </c>
      <c r="AQ1565" s="94" t="s">
        <v>148</v>
      </c>
      <c r="AV1565" s="93">
        <f t="shared" si="19"/>
        <v>0</v>
      </c>
      <c r="AW1565" s="93">
        <f t="shared" si="20"/>
        <v>0</v>
      </c>
      <c r="AX1565" s="93">
        <f t="shared" si="21"/>
        <v>0</v>
      </c>
      <c r="AY1565" s="94" t="s">
        <v>1648</v>
      </c>
      <c r="AZ1565" s="94" t="s">
        <v>1649</v>
      </c>
      <c r="BA1565" s="88" t="s">
        <v>67</v>
      </c>
      <c r="BC1565" s="93">
        <f t="shared" si="22"/>
        <v>0</v>
      </c>
      <c r="BD1565" s="93">
        <f t="shared" si="23"/>
        <v>0</v>
      </c>
      <c r="BE1565" s="93">
        <v>0</v>
      </c>
      <c r="BF1565" s="93">
        <f t="shared" si="24"/>
        <v>0</v>
      </c>
      <c r="BH1565" s="93">
        <f t="shared" si="25"/>
        <v>0</v>
      </c>
      <c r="BI1565" s="93">
        <f t="shared" si="26"/>
        <v>0</v>
      </c>
      <c r="BJ1565" s="93">
        <f t="shared" si="27"/>
        <v>0</v>
      </c>
      <c r="BK1565" s="93"/>
      <c r="BL1565" s="93"/>
      <c r="BW1565" s="93" t="str">
        <f t="shared" si="28"/>
        <v>21</v>
      </c>
      <c r="BX1565" s="2" t="s">
        <v>1683</v>
      </c>
    </row>
    <row r="1566" spans="1:76" s="81" customFormat="1" ht="25.5" x14ac:dyDescent="0.25">
      <c r="A1566" s="66" t="s">
        <v>1687</v>
      </c>
      <c r="B1566" s="72" t="s">
        <v>55</v>
      </c>
      <c r="C1566" s="72" t="s">
        <v>1685</v>
      </c>
      <c r="D1566" s="174" t="s">
        <v>1686</v>
      </c>
      <c r="E1566" s="174"/>
      <c r="F1566" s="72" t="s">
        <v>203</v>
      </c>
      <c r="G1566" s="90">
        <v>3</v>
      </c>
      <c r="H1566" s="91"/>
      <c r="I1566" s="92" t="s">
        <v>63</v>
      </c>
      <c r="J1566" s="90">
        <f t="shared" si="1"/>
        <v>0</v>
      </c>
      <c r="K1566" s="90">
        <f t="shared" si="2"/>
        <v>0</v>
      </c>
      <c r="L1566" s="90">
        <f t="shared" si="3"/>
        <v>0</v>
      </c>
      <c r="M1566" s="90">
        <f t="shared" si="4"/>
        <v>0</v>
      </c>
      <c r="N1566" s="90">
        <v>0</v>
      </c>
      <c r="O1566" s="90">
        <f t="shared" si="5"/>
        <v>0</v>
      </c>
      <c r="P1566" s="92" t="s">
        <v>1647</v>
      </c>
      <c r="Z1566" s="93">
        <f t="shared" si="6"/>
        <v>0</v>
      </c>
      <c r="AB1566" s="93">
        <f t="shared" si="7"/>
        <v>0</v>
      </c>
      <c r="AC1566" s="93">
        <f t="shared" si="8"/>
        <v>0</v>
      </c>
      <c r="AD1566" s="93">
        <f t="shared" si="9"/>
        <v>0</v>
      </c>
      <c r="AE1566" s="93">
        <f t="shared" si="10"/>
        <v>0</v>
      </c>
      <c r="AF1566" s="93">
        <f t="shared" si="11"/>
        <v>0</v>
      </c>
      <c r="AG1566" s="93">
        <f t="shared" si="12"/>
        <v>0</v>
      </c>
      <c r="AH1566" s="93">
        <f t="shared" si="13"/>
        <v>0</v>
      </c>
      <c r="AI1566" s="88" t="s">
        <v>55</v>
      </c>
      <c r="AJ1566" s="93">
        <f t="shared" si="14"/>
        <v>0</v>
      </c>
      <c r="AK1566" s="93">
        <f t="shared" si="15"/>
        <v>0</v>
      </c>
      <c r="AL1566" s="93">
        <f t="shared" si="16"/>
        <v>0</v>
      </c>
      <c r="AN1566" s="93">
        <v>21</v>
      </c>
      <c r="AO1566" s="93">
        <f t="shared" si="17"/>
        <v>0</v>
      </c>
      <c r="AP1566" s="93">
        <f t="shared" si="18"/>
        <v>0</v>
      </c>
      <c r="AQ1566" s="94" t="s">
        <v>148</v>
      </c>
      <c r="AV1566" s="93">
        <f t="shared" si="19"/>
        <v>0</v>
      </c>
      <c r="AW1566" s="93">
        <f t="shared" si="20"/>
        <v>0</v>
      </c>
      <c r="AX1566" s="93">
        <f t="shared" si="21"/>
        <v>0</v>
      </c>
      <c r="AY1566" s="94" t="s">
        <v>1648</v>
      </c>
      <c r="AZ1566" s="94" t="s">
        <v>1649</v>
      </c>
      <c r="BA1566" s="88" t="s">
        <v>67</v>
      </c>
      <c r="BC1566" s="93">
        <f t="shared" si="22"/>
        <v>0</v>
      </c>
      <c r="BD1566" s="93">
        <f t="shared" si="23"/>
        <v>0</v>
      </c>
      <c r="BE1566" s="93">
        <v>0</v>
      </c>
      <c r="BF1566" s="93">
        <f t="shared" si="24"/>
        <v>0</v>
      </c>
      <c r="BH1566" s="93">
        <f t="shared" si="25"/>
        <v>0</v>
      </c>
      <c r="BI1566" s="93">
        <f t="shared" si="26"/>
        <v>0</v>
      </c>
      <c r="BJ1566" s="93">
        <f t="shared" si="27"/>
        <v>0</v>
      </c>
      <c r="BK1566" s="93"/>
      <c r="BL1566" s="93"/>
      <c r="BW1566" s="93" t="str">
        <f t="shared" si="28"/>
        <v>21</v>
      </c>
      <c r="BX1566" s="2" t="s">
        <v>1686</v>
      </c>
    </row>
    <row r="1567" spans="1:76" s="81" customFormat="1" ht="25.5" x14ac:dyDescent="0.25">
      <c r="A1567" s="66" t="s">
        <v>1690</v>
      </c>
      <c r="B1567" s="72" t="s">
        <v>55</v>
      </c>
      <c r="C1567" s="72" t="s">
        <v>1688</v>
      </c>
      <c r="D1567" s="174" t="s">
        <v>1689</v>
      </c>
      <c r="E1567" s="174"/>
      <c r="F1567" s="72" t="s">
        <v>203</v>
      </c>
      <c r="G1567" s="90">
        <v>2</v>
      </c>
      <c r="H1567" s="91"/>
      <c r="I1567" s="92" t="s">
        <v>63</v>
      </c>
      <c r="J1567" s="90">
        <f t="shared" si="1"/>
        <v>0</v>
      </c>
      <c r="K1567" s="90">
        <f t="shared" si="2"/>
        <v>0</v>
      </c>
      <c r="L1567" s="90">
        <f t="shared" si="3"/>
        <v>0</v>
      </c>
      <c r="M1567" s="90">
        <f t="shared" si="4"/>
        <v>0</v>
      </c>
      <c r="N1567" s="90">
        <v>0</v>
      </c>
      <c r="O1567" s="90">
        <f t="shared" si="5"/>
        <v>0</v>
      </c>
      <c r="P1567" s="92" t="s">
        <v>1647</v>
      </c>
      <c r="Z1567" s="93">
        <f t="shared" si="6"/>
        <v>0</v>
      </c>
      <c r="AB1567" s="93">
        <f t="shared" si="7"/>
        <v>0</v>
      </c>
      <c r="AC1567" s="93">
        <f t="shared" si="8"/>
        <v>0</v>
      </c>
      <c r="AD1567" s="93">
        <f t="shared" si="9"/>
        <v>0</v>
      </c>
      <c r="AE1567" s="93">
        <f t="shared" si="10"/>
        <v>0</v>
      </c>
      <c r="AF1567" s="93">
        <f t="shared" si="11"/>
        <v>0</v>
      </c>
      <c r="AG1567" s="93">
        <f t="shared" si="12"/>
        <v>0</v>
      </c>
      <c r="AH1567" s="93">
        <f t="shared" si="13"/>
        <v>0</v>
      </c>
      <c r="AI1567" s="88" t="s">
        <v>55</v>
      </c>
      <c r="AJ1567" s="93">
        <f t="shared" si="14"/>
        <v>0</v>
      </c>
      <c r="AK1567" s="93">
        <f t="shared" si="15"/>
        <v>0</v>
      </c>
      <c r="AL1567" s="93">
        <f t="shared" si="16"/>
        <v>0</v>
      </c>
      <c r="AN1567" s="93">
        <v>21</v>
      </c>
      <c r="AO1567" s="93">
        <f t="shared" si="17"/>
        <v>0</v>
      </c>
      <c r="AP1567" s="93">
        <f t="shared" si="18"/>
        <v>0</v>
      </c>
      <c r="AQ1567" s="94" t="s">
        <v>148</v>
      </c>
      <c r="AV1567" s="93">
        <f t="shared" si="19"/>
        <v>0</v>
      </c>
      <c r="AW1567" s="93">
        <f t="shared" si="20"/>
        <v>0</v>
      </c>
      <c r="AX1567" s="93">
        <f t="shared" si="21"/>
        <v>0</v>
      </c>
      <c r="AY1567" s="94" t="s">
        <v>1648</v>
      </c>
      <c r="AZ1567" s="94" t="s">
        <v>1649</v>
      </c>
      <c r="BA1567" s="88" t="s">
        <v>67</v>
      </c>
      <c r="BC1567" s="93">
        <f t="shared" si="22"/>
        <v>0</v>
      </c>
      <c r="BD1567" s="93">
        <f t="shared" si="23"/>
        <v>0</v>
      </c>
      <c r="BE1567" s="93">
        <v>0</v>
      </c>
      <c r="BF1567" s="93">
        <f t="shared" si="24"/>
        <v>0</v>
      </c>
      <c r="BH1567" s="93">
        <f t="shared" si="25"/>
        <v>0</v>
      </c>
      <c r="BI1567" s="93">
        <f t="shared" si="26"/>
        <v>0</v>
      </c>
      <c r="BJ1567" s="93">
        <f t="shared" si="27"/>
        <v>0</v>
      </c>
      <c r="BK1567" s="93"/>
      <c r="BL1567" s="93"/>
      <c r="BW1567" s="93" t="str">
        <f t="shared" si="28"/>
        <v>21</v>
      </c>
      <c r="BX1567" s="2" t="s">
        <v>1689</v>
      </c>
    </row>
    <row r="1568" spans="1:76" s="81" customFormat="1" ht="25.5" x14ac:dyDescent="0.25">
      <c r="A1568" s="66" t="s">
        <v>1693</v>
      </c>
      <c r="B1568" s="72" t="s">
        <v>55</v>
      </c>
      <c r="C1568" s="72" t="s">
        <v>1691</v>
      </c>
      <c r="D1568" s="174" t="s">
        <v>1692</v>
      </c>
      <c r="E1568" s="174"/>
      <c r="F1568" s="72" t="s">
        <v>203</v>
      </c>
      <c r="G1568" s="90">
        <v>2</v>
      </c>
      <c r="H1568" s="91"/>
      <c r="I1568" s="92" t="s">
        <v>63</v>
      </c>
      <c r="J1568" s="90">
        <f t="shared" si="1"/>
        <v>0</v>
      </c>
      <c r="K1568" s="90">
        <f t="shared" si="2"/>
        <v>0</v>
      </c>
      <c r="L1568" s="90">
        <f t="shared" si="3"/>
        <v>0</v>
      </c>
      <c r="M1568" s="90">
        <f t="shared" si="4"/>
        <v>0</v>
      </c>
      <c r="N1568" s="90">
        <v>0</v>
      </c>
      <c r="O1568" s="90">
        <f t="shared" si="5"/>
        <v>0</v>
      </c>
      <c r="P1568" s="92" t="s">
        <v>1647</v>
      </c>
      <c r="Z1568" s="93">
        <f t="shared" si="6"/>
        <v>0</v>
      </c>
      <c r="AB1568" s="93">
        <f t="shared" si="7"/>
        <v>0</v>
      </c>
      <c r="AC1568" s="93">
        <f t="shared" si="8"/>
        <v>0</v>
      </c>
      <c r="AD1568" s="93">
        <f t="shared" si="9"/>
        <v>0</v>
      </c>
      <c r="AE1568" s="93">
        <f t="shared" si="10"/>
        <v>0</v>
      </c>
      <c r="AF1568" s="93">
        <f t="shared" si="11"/>
        <v>0</v>
      </c>
      <c r="AG1568" s="93">
        <f t="shared" si="12"/>
        <v>0</v>
      </c>
      <c r="AH1568" s="93">
        <f t="shared" si="13"/>
        <v>0</v>
      </c>
      <c r="AI1568" s="88" t="s">
        <v>55</v>
      </c>
      <c r="AJ1568" s="93">
        <f t="shared" si="14"/>
        <v>0</v>
      </c>
      <c r="AK1568" s="93">
        <f t="shared" si="15"/>
        <v>0</v>
      </c>
      <c r="AL1568" s="93">
        <f t="shared" si="16"/>
        <v>0</v>
      </c>
      <c r="AN1568" s="93">
        <v>21</v>
      </c>
      <c r="AO1568" s="93">
        <f t="shared" si="17"/>
        <v>0</v>
      </c>
      <c r="AP1568" s="93">
        <f t="shared" si="18"/>
        <v>0</v>
      </c>
      <c r="AQ1568" s="94" t="s">
        <v>148</v>
      </c>
      <c r="AV1568" s="93">
        <f t="shared" si="19"/>
        <v>0</v>
      </c>
      <c r="AW1568" s="93">
        <f t="shared" si="20"/>
        <v>0</v>
      </c>
      <c r="AX1568" s="93">
        <f t="shared" si="21"/>
        <v>0</v>
      </c>
      <c r="AY1568" s="94" t="s">
        <v>1648</v>
      </c>
      <c r="AZ1568" s="94" t="s">
        <v>1649</v>
      </c>
      <c r="BA1568" s="88" t="s">
        <v>67</v>
      </c>
      <c r="BC1568" s="93">
        <f t="shared" si="22"/>
        <v>0</v>
      </c>
      <c r="BD1568" s="93">
        <f t="shared" si="23"/>
        <v>0</v>
      </c>
      <c r="BE1568" s="93">
        <v>0</v>
      </c>
      <c r="BF1568" s="93">
        <f t="shared" si="24"/>
        <v>0</v>
      </c>
      <c r="BH1568" s="93">
        <f t="shared" si="25"/>
        <v>0</v>
      </c>
      <c r="BI1568" s="93">
        <f t="shared" si="26"/>
        <v>0</v>
      </c>
      <c r="BJ1568" s="93">
        <f t="shared" si="27"/>
        <v>0</v>
      </c>
      <c r="BK1568" s="93"/>
      <c r="BL1568" s="93"/>
      <c r="BW1568" s="93" t="str">
        <f t="shared" si="28"/>
        <v>21</v>
      </c>
      <c r="BX1568" s="2" t="s">
        <v>1692</v>
      </c>
    </row>
    <row r="1569" spans="1:76" s="81" customFormat="1" ht="25.5" x14ac:dyDescent="0.25">
      <c r="A1569" s="66" t="s">
        <v>1696</v>
      </c>
      <c r="B1569" s="72" t="s">
        <v>55</v>
      </c>
      <c r="C1569" s="72" t="s">
        <v>1694</v>
      </c>
      <c r="D1569" s="174" t="s">
        <v>1695</v>
      </c>
      <c r="E1569" s="174"/>
      <c r="F1569" s="72" t="s">
        <v>203</v>
      </c>
      <c r="G1569" s="90">
        <v>4</v>
      </c>
      <c r="H1569" s="91"/>
      <c r="I1569" s="92" t="s">
        <v>63</v>
      </c>
      <c r="J1569" s="90">
        <f t="shared" si="1"/>
        <v>0</v>
      </c>
      <c r="K1569" s="90">
        <f t="shared" si="2"/>
        <v>0</v>
      </c>
      <c r="L1569" s="90">
        <f t="shared" si="3"/>
        <v>0</v>
      </c>
      <c r="M1569" s="90">
        <f t="shared" si="4"/>
        <v>0</v>
      </c>
      <c r="N1569" s="90">
        <v>0</v>
      </c>
      <c r="O1569" s="90">
        <f t="shared" si="5"/>
        <v>0</v>
      </c>
      <c r="P1569" s="92" t="s">
        <v>1647</v>
      </c>
      <c r="Z1569" s="93">
        <f t="shared" si="6"/>
        <v>0</v>
      </c>
      <c r="AB1569" s="93">
        <f t="shared" si="7"/>
        <v>0</v>
      </c>
      <c r="AC1569" s="93">
        <f t="shared" si="8"/>
        <v>0</v>
      </c>
      <c r="AD1569" s="93">
        <f t="shared" si="9"/>
        <v>0</v>
      </c>
      <c r="AE1569" s="93">
        <f t="shared" si="10"/>
        <v>0</v>
      </c>
      <c r="AF1569" s="93">
        <f t="shared" si="11"/>
        <v>0</v>
      </c>
      <c r="AG1569" s="93">
        <f t="shared" si="12"/>
        <v>0</v>
      </c>
      <c r="AH1569" s="93">
        <f t="shared" si="13"/>
        <v>0</v>
      </c>
      <c r="AI1569" s="88" t="s">
        <v>55</v>
      </c>
      <c r="AJ1569" s="93">
        <f t="shared" si="14"/>
        <v>0</v>
      </c>
      <c r="AK1569" s="93">
        <f t="shared" si="15"/>
        <v>0</v>
      </c>
      <c r="AL1569" s="93">
        <f t="shared" si="16"/>
        <v>0</v>
      </c>
      <c r="AN1569" s="93">
        <v>21</v>
      </c>
      <c r="AO1569" s="93">
        <f t="shared" si="17"/>
        <v>0</v>
      </c>
      <c r="AP1569" s="93">
        <f t="shared" si="18"/>
        <v>0</v>
      </c>
      <c r="AQ1569" s="94" t="s">
        <v>148</v>
      </c>
      <c r="AV1569" s="93">
        <f t="shared" si="19"/>
        <v>0</v>
      </c>
      <c r="AW1569" s="93">
        <f t="shared" si="20"/>
        <v>0</v>
      </c>
      <c r="AX1569" s="93">
        <f t="shared" si="21"/>
        <v>0</v>
      </c>
      <c r="AY1569" s="94" t="s">
        <v>1648</v>
      </c>
      <c r="AZ1569" s="94" t="s">
        <v>1649</v>
      </c>
      <c r="BA1569" s="88" t="s">
        <v>67</v>
      </c>
      <c r="BC1569" s="93">
        <f t="shared" si="22"/>
        <v>0</v>
      </c>
      <c r="BD1569" s="93">
        <f t="shared" si="23"/>
        <v>0</v>
      </c>
      <c r="BE1569" s="93">
        <v>0</v>
      </c>
      <c r="BF1569" s="93">
        <f t="shared" si="24"/>
        <v>0</v>
      </c>
      <c r="BH1569" s="93">
        <f t="shared" si="25"/>
        <v>0</v>
      </c>
      <c r="BI1569" s="93">
        <f t="shared" si="26"/>
        <v>0</v>
      </c>
      <c r="BJ1569" s="93">
        <f t="shared" si="27"/>
        <v>0</v>
      </c>
      <c r="BK1569" s="93"/>
      <c r="BL1569" s="93"/>
      <c r="BW1569" s="93" t="str">
        <f t="shared" si="28"/>
        <v>21</v>
      </c>
      <c r="BX1569" s="2" t="s">
        <v>1695</v>
      </c>
    </row>
    <row r="1570" spans="1:76" s="81" customFormat="1" ht="25.5" x14ac:dyDescent="0.25">
      <c r="A1570" s="66" t="s">
        <v>1699</v>
      </c>
      <c r="B1570" s="72" t="s">
        <v>55</v>
      </c>
      <c r="C1570" s="72" t="s">
        <v>1697</v>
      </c>
      <c r="D1570" s="174" t="s">
        <v>1698</v>
      </c>
      <c r="E1570" s="174"/>
      <c r="F1570" s="72" t="s">
        <v>203</v>
      </c>
      <c r="G1570" s="90">
        <v>1</v>
      </c>
      <c r="H1570" s="91"/>
      <c r="I1570" s="92" t="s">
        <v>63</v>
      </c>
      <c r="J1570" s="90">
        <f t="shared" si="1"/>
        <v>0</v>
      </c>
      <c r="K1570" s="90">
        <f t="shared" si="2"/>
        <v>0</v>
      </c>
      <c r="L1570" s="90">
        <f t="shared" si="3"/>
        <v>0</v>
      </c>
      <c r="M1570" s="90">
        <f t="shared" si="4"/>
        <v>0</v>
      </c>
      <c r="N1570" s="90">
        <v>0</v>
      </c>
      <c r="O1570" s="90">
        <f t="shared" si="5"/>
        <v>0</v>
      </c>
      <c r="P1570" s="92" t="s">
        <v>1647</v>
      </c>
      <c r="Z1570" s="93">
        <f t="shared" si="6"/>
        <v>0</v>
      </c>
      <c r="AB1570" s="93">
        <f t="shared" si="7"/>
        <v>0</v>
      </c>
      <c r="AC1570" s="93">
        <f t="shared" si="8"/>
        <v>0</v>
      </c>
      <c r="AD1570" s="93">
        <f t="shared" si="9"/>
        <v>0</v>
      </c>
      <c r="AE1570" s="93">
        <f t="shared" si="10"/>
        <v>0</v>
      </c>
      <c r="AF1570" s="93">
        <f t="shared" si="11"/>
        <v>0</v>
      </c>
      <c r="AG1570" s="93">
        <f t="shared" si="12"/>
        <v>0</v>
      </c>
      <c r="AH1570" s="93">
        <f t="shared" si="13"/>
        <v>0</v>
      </c>
      <c r="AI1570" s="88" t="s">
        <v>55</v>
      </c>
      <c r="AJ1570" s="93">
        <f t="shared" si="14"/>
        <v>0</v>
      </c>
      <c r="AK1570" s="93">
        <f t="shared" si="15"/>
        <v>0</v>
      </c>
      <c r="AL1570" s="93">
        <f t="shared" si="16"/>
        <v>0</v>
      </c>
      <c r="AN1570" s="93">
        <v>21</v>
      </c>
      <c r="AO1570" s="93">
        <f t="shared" si="17"/>
        <v>0</v>
      </c>
      <c r="AP1570" s="93">
        <f t="shared" si="18"/>
        <v>0</v>
      </c>
      <c r="AQ1570" s="94" t="s">
        <v>148</v>
      </c>
      <c r="AV1570" s="93">
        <f t="shared" si="19"/>
        <v>0</v>
      </c>
      <c r="AW1570" s="93">
        <f t="shared" si="20"/>
        <v>0</v>
      </c>
      <c r="AX1570" s="93">
        <f t="shared" si="21"/>
        <v>0</v>
      </c>
      <c r="AY1570" s="94" t="s">
        <v>1648</v>
      </c>
      <c r="AZ1570" s="94" t="s">
        <v>1649</v>
      </c>
      <c r="BA1570" s="88" t="s">
        <v>67</v>
      </c>
      <c r="BC1570" s="93">
        <f t="shared" si="22"/>
        <v>0</v>
      </c>
      <c r="BD1570" s="93">
        <f t="shared" si="23"/>
        <v>0</v>
      </c>
      <c r="BE1570" s="93">
        <v>0</v>
      </c>
      <c r="BF1570" s="93">
        <f t="shared" si="24"/>
        <v>0</v>
      </c>
      <c r="BH1570" s="93">
        <f t="shared" si="25"/>
        <v>0</v>
      </c>
      <c r="BI1570" s="93">
        <f t="shared" si="26"/>
        <v>0</v>
      </c>
      <c r="BJ1570" s="93">
        <f t="shared" si="27"/>
        <v>0</v>
      </c>
      <c r="BK1570" s="93"/>
      <c r="BL1570" s="93"/>
      <c r="BW1570" s="93" t="str">
        <f t="shared" si="28"/>
        <v>21</v>
      </c>
      <c r="BX1570" s="2" t="s">
        <v>1698</v>
      </c>
    </row>
    <row r="1571" spans="1:76" s="81" customFormat="1" ht="25.5" x14ac:dyDescent="0.25">
      <c r="A1571" s="66" t="s">
        <v>1702</v>
      </c>
      <c r="B1571" s="72" t="s">
        <v>55</v>
      </c>
      <c r="C1571" s="72" t="s">
        <v>1700</v>
      </c>
      <c r="D1571" s="174" t="s">
        <v>1701</v>
      </c>
      <c r="E1571" s="174"/>
      <c r="F1571" s="72" t="s">
        <v>1671</v>
      </c>
      <c r="G1571" s="90">
        <v>20</v>
      </c>
      <c r="H1571" s="91"/>
      <c r="I1571" s="92" t="s">
        <v>63</v>
      </c>
      <c r="J1571" s="90">
        <f t="shared" si="1"/>
        <v>0</v>
      </c>
      <c r="K1571" s="90">
        <f t="shared" si="2"/>
        <v>0</v>
      </c>
      <c r="L1571" s="90">
        <f t="shared" si="3"/>
        <v>0</v>
      </c>
      <c r="M1571" s="90">
        <f t="shared" si="4"/>
        <v>0</v>
      </c>
      <c r="N1571" s="90">
        <v>0</v>
      </c>
      <c r="O1571" s="90">
        <f t="shared" si="5"/>
        <v>0</v>
      </c>
      <c r="P1571" s="92" t="s">
        <v>1647</v>
      </c>
      <c r="Z1571" s="93">
        <f t="shared" si="6"/>
        <v>0</v>
      </c>
      <c r="AB1571" s="93">
        <f t="shared" si="7"/>
        <v>0</v>
      </c>
      <c r="AC1571" s="93">
        <f t="shared" si="8"/>
        <v>0</v>
      </c>
      <c r="AD1571" s="93">
        <f t="shared" si="9"/>
        <v>0</v>
      </c>
      <c r="AE1571" s="93">
        <f t="shared" si="10"/>
        <v>0</v>
      </c>
      <c r="AF1571" s="93">
        <f t="shared" si="11"/>
        <v>0</v>
      </c>
      <c r="AG1571" s="93">
        <f t="shared" si="12"/>
        <v>0</v>
      </c>
      <c r="AH1571" s="93">
        <f t="shared" si="13"/>
        <v>0</v>
      </c>
      <c r="AI1571" s="88" t="s">
        <v>55</v>
      </c>
      <c r="AJ1571" s="93">
        <f t="shared" si="14"/>
        <v>0</v>
      </c>
      <c r="AK1571" s="93">
        <f t="shared" si="15"/>
        <v>0</v>
      </c>
      <c r="AL1571" s="93">
        <f t="shared" si="16"/>
        <v>0</v>
      </c>
      <c r="AN1571" s="93">
        <v>21</v>
      </c>
      <c r="AO1571" s="93">
        <f t="shared" si="17"/>
        <v>0</v>
      </c>
      <c r="AP1571" s="93">
        <f t="shared" si="18"/>
        <v>0</v>
      </c>
      <c r="AQ1571" s="94" t="s">
        <v>148</v>
      </c>
      <c r="AV1571" s="93">
        <f t="shared" si="19"/>
        <v>0</v>
      </c>
      <c r="AW1571" s="93">
        <f t="shared" si="20"/>
        <v>0</v>
      </c>
      <c r="AX1571" s="93">
        <f t="shared" si="21"/>
        <v>0</v>
      </c>
      <c r="AY1571" s="94" t="s">
        <v>1648</v>
      </c>
      <c r="AZ1571" s="94" t="s">
        <v>1649</v>
      </c>
      <c r="BA1571" s="88" t="s">
        <v>67</v>
      </c>
      <c r="BC1571" s="93">
        <f t="shared" si="22"/>
        <v>0</v>
      </c>
      <c r="BD1571" s="93">
        <f t="shared" si="23"/>
        <v>0</v>
      </c>
      <c r="BE1571" s="93">
        <v>0</v>
      </c>
      <c r="BF1571" s="93">
        <f t="shared" si="24"/>
        <v>0</v>
      </c>
      <c r="BH1571" s="93">
        <f t="shared" si="25"/>
        <v>0</v>
      </c>
      <c r="BI1571" s="93">
        <f t="shared" si="26"/>
        <v>0</v>
      </c>
      <c r="BJ1571" s="93">
        <f t="shared" si="27"/>
        <v>0</v>
      </c>
      <c r="BK1571" s="93"/>
      <c r="BL1571" s="93"/>
      <c r="BW1571" s="93" t="str">
        <f t="shared" si="28"/>
        <v>21</v>
      </c>
      <c r="BX1571" s="2" t="s">
        <v>1701</v>
      </c>
    </row>
    <row r="1572" spans="1:76" s="81" customFormat="1" ht="25.5" x14ac:dyDescent="0.25">
      <c r="A1572" s="66" t="s">
        <v>1705</v>
      </c>
      <c r="B1572" s="72" t="s">
        <v>55</v>
      </c>
      <c r="C1572" s="72" t="s">
        <v>1703</v>
      </c>
      <c r="D1572" s="174" t="s">
        <v>1704</v>
      </c>
      <c r="E1572" s="174"/>
      <c r="F1572" s="72" t="s">
        <v>192</v>
      </c>
      <c r="G1572" s="90">
        <v>1</v>
      </c>
      <c r="H1572" s="91"/>
      <c r="I1572" s="92" t="s">
        <v>63</v>
      </c>
      <c r="J1572" s="90">
        <f t="shared" si="1"/>
        <v>0</v>
      </c>
      <c r="K1572" s="90">
        <f t="shared" si="2"/>
        <v>0</v>
      </c>
      <c r="L1572" s="90">
        <f t="shared" si="3"/>
        <v>0</v>
      </c>
      <c r="M1572" s="90">
        <f t="shared" si="4"/>
        <v>0</v>
      </c>
      <c r="N1572" s="90">
        <v>0</v>
      </c>
      <c r="O1572" s="90">
        <f t="shared" si="5"/>
        <v>0</v>
      </c>
      <c r="P1572" s="92" t="s">
        <v>1647</v>
      </c>
      <c r="Z1572" s="93">
        <f t="shared" si="6"/>
        <v>0</v>
      </c>
      <c r="AB1572" s="93">
        <f t="shared" si="7"/>
        <v>0</v>
      </c>
      <c r="AC1572" s="93">
        <f t="shared" si="8"/>
        <v>0</v>
      </c>
      <c r="AD1572" s="93">
        <f t="shared" si="9"/>
        <v>0</v>
      </c>
      <c r="AE1572" s="93">
        <f t="shared" si="10"/>
        <v>0</v>
      </c>
      <c r="AF1572" s="93">
        <f t="shared" si="11"/>
        <v>0</v>
      </c>
      <c r="AG1572" s="93">
        <f t="shared" si="12"/>
        <v>0</v>
      </c>
      <c r="AH1572" s="93">
        <f t="shared" si="13"/>
        <v>0</v>
      </c>
      <c r="AI1572" s="88" t="s">
        <v>55</v>
      </c>
      <c r="AJ1572" s="93">
        <f t="shared" si="14"/>
        <v>0</v>
      </c>
      <c r="AK1572" s="93">
        <f t="shared" si="15"/>
        <v>0</v>
      </c>
      <c r="AL1572" s="93">
        <f t="shared" si="16"/>
        <v>0</v>
      </c>
      <c r="AN1572" s="93">
        <v>21</v>
      </c>
      <c r="AO1572" s="93">
        <f t="shared" si="17"/>
        <v>0</v>
      </c>
      <c r="AP1572" s="93">
        <f t="shared" si="18"/>
        <v>0</v>
      </c>
      <c r="AQ1572" s="94" t="s">
        <v>148</v>
      </c>
      <c r="AV1572" s="93">
        <f t="shared" si="19"/>
        <v>0</v>
      </c>
      <c r="AW1572" s="93">
        <f t="shared" si="20"/>
        <v>0</v>
      </c>
      <c r="AX1572" s="93">
        <f t="shared" si="21"/>
        <v>0</v>
      </c>
      <c r="AY1572" s="94" t="s">
        <v>1648</v>
      </c>
      <c r="AZ1572" s="94" t="s">
        <v>1649</v>
      </c>
      <c r="BA1572" s="88" t="s">
        <v>67</v>
      </c>
      <c r="BC1572" s="93">
        <f t="shared" si="22"/>
        <v>0</v>
      </c>
      <c r="BD1572" s="93">
        <f t="shared" si="23"/>
        <v>0</v>
      </c>
      <c r="BE1572" s="93">
        <v>0</v>
      </c>
      <c r="BF1572" s="93">
        <f t="shared" si="24"/>
        <v>0</v>
      </c>
      <c r="BH1572" s="93">
        <f t="shared" si="25"/>
        <v>0</v>
      </c>
      <c r="BI1572" s="93">
        <f t="shared" si="26"/>
        <v>0</v>
      </c>
      <c r="BJ1572" s="93">
        <f t="shared" si="27"/>
        <v>0</v>
      </c>
      <c r="BK1572" s="93"/>
      <c r="BL1572" s="93"/>
      <c r="BW1572" s="93" t="str">
        <f t="shared" si="28"/>
        <v>21</v>
      </c>
      <c r="BX1572" s="2" t="s">
        <v>1704</v>
      </c>
    </row>
    <row r="1573" spans="1:76" s="81" customFormat="1" ht="25.5" x14ac:dyDescent="0.25">
      <c r="A1573" s="66" t="s">
        <v>1708</v>
      </c>
      <c r="B1573" s="72" t="s">
        <v>55</v>
      </c>
      <c r="C1573" s="72" t="s">
        <v>1706</v>
      </c>
      <c r="D1573" s="174" t="s">
        <v>1707</v>
      </c>
      <c r="E1573" s="174"/>
      <c r="F1573" s="72" t="s">
        <v>203</v>
      </c>
      <c r="G1573" s="90">
        <v>1</v>
      </c>
      <c r="H1573" s="91"/>
      <c r="I1573" s="92" t="s">
        <v>63</v>
      </c>
      <c r="J1573" s="90">
        <f t="shared" si="1"/>
        <v>0</v>
      </c>
      <c r="K1573" s="90">
        <f t="shared" si="2"/>
        <v>0</v>
      </c>
      <c r="L1573" s="90">
        <f t="shared" si="3"/>
        <v>0</v>
      </c>
      <c r="M1573" s="90">
        <f t="shared" si="4"/>
        <v>0</v>
      </c>
      <c r="N1573" s="90">
        <v>0</v>
      </c>
      <c r="O1573" s="90">
        <f t="shared" si="5"/>
        <v>0</v>
      </c>
      <c r="P1573" s="92" t="s">
        <v>1647</v>
      </c>
      <c r="Z1573" s="93">
        <f t="shared" si="6"/>
        <v>0</v>
      </c>
      <c r="AB1573" s="93">
        <f t="shared" si="7"/>
        <v>0</v>
      </c>
      <c r="AC1573" s="93">
        <f t="shared" si="8"/>
        <v>0</v>
      </c>
      <c r="AD1573" s="93">
        <f t="shared" si="9"/>
        <v>0</v>
      </c>
      <c r="AE1573" s="93">
        <f t="shared" si="10"/>
        <v>0</v>
      </c>
      <c r="AF1573" s="93">
        <f t="shared" si="11"/>
        <v>0</v>
      </c>
      <c r="AG1573" s="93">
        <f t="shared" si="12"/>
        <v>0</v>
      </c>
      <c r="AH1573" s="93">
        <f t="shared" si="13"/>
        <v>0</v>
      </c>
      <c r="AI1573" s="88" t="s">
        <v>55</v>
      </c>
      <c r="AJ1573" s="93">
        <f t="shared" si="14"/>
        <v>0</v>
      </c>
      <c r="AK1573" s="93">
        <f t="shared" si="15"/>
        <v>0</v>
      </c>
      <c r="AL1573" s="93">
        <f t="shared" si="16"/>
        <v>0</v>
      </c>
      <c r="AN1573" s="93">
        <v>21</v>
      </c>
      <c r="AO1573" s="93">
        <f t="shared" si="17"/>
        <v>0</v>
      </c>
      <c r="AP1573" s="93">
        <f t="shared" si="18"/>
        <v>0</v>
      </c>
      <c r="AQ1573" s="94" t="s">
        <v>148</v>
      </c>
      <c r="AV1573" s="93">
        <f t="shared" si="19"/>
        <v>0</v>
      </c>
      <c r="AW1573" s="93">
        <f t="shared" si="20"/>
        <v>0</v>
      </c>
      <c r="AX1573" s="93">
        <f t="shared" si="21"/>
        <v>0</v>
      </c>
      <c r="AY1573" s="94" t="s">
        <v>1648</v>
      </c>
      <c r="AZ1573" s="94" t="s">
        <v>1649</v>
      </c>
      <c r="BA1573" s="88" t="s">
        <v>67</v>
      </c>
      <c r="BC1573" s="93">
        <f t="shared" si="22"/>
        <v>0</v>
      </c>
      <c r="BD1573" s="93">
        <f t="shared" si="23"/>
        <v>0</v>
      </c>
      <c r="BE1573" s="93">
        <v>0</v>
      </c>
      <c r="BF1573" s="93">
        <f t="shared" si="24"/>
        <v>0</v>
      </c>
      <c r="BH1573" s="93">
        <f t="shared" si="25"/>
        <v>0</v>
      </c>
      <c r="BI1573" s="93">
        <f t="shared" si="26"/>
        <v>0</v>
      </c>
      <c r="BJ1573" s="93">
        <f t="shared" si="27"/>
        <v>0</v>
      </c>
      <c r="BK1573" s="93"/>
      <c r="BL1573" s="93"/>
      <c r="BW1573" s="93" t="str">
        <f t="shared" si="28"/>
        <v>21</v>
      </c>
      <c r="BX1573" s="2" t="s">
        <v>1707</v>
      </c>
    </row>
    <row r="1574" spans="1:76" s="81" customFormat="1" ht="25.5" x14ac:dyDescent="0.25">
      <c r="A1574" s="66" t="s">
        <v>1713</v>
      </c>
      <c r="B1574" s="72" t="s">
        <v>55</v>
      </c>
      <c r="C1574" s="72" t="s">
        <v>1709</v>
      </c>
      <c r="D1574" s="174" t="s">
        <v>1710</v>
      </c>
      <c r="E1574" s="174"/>
      <c r="F1574" s="72" t="s">
        <v>1332</v>
      </c>
      <c r="G1574" s="90">
        <v>1</v>
      </c>
      <c r="H1574" s="91"/>
      <c r="I1574" s="92" t="s">
        <v>63</v>
      </c>
      <c r="J1574" s="90">
        <f t="shared" si="1"/>
        <v>0</v>
      </c>
      <c r="K1574" s="90">
        <f t="shared" si="2"/>
        <v>0</v>
      </c>
      <c r="L1574" s="90">
        <f t="shared" si="3"/>
        <v>0</v>
      </c>
      <c r="M1574" s="90">
        <f t="shared" si="4"/>
        <v>0</v>
      </c>
      <c r="N1574" s="90">
        <v>0</v>
      </c>
      <c r="O1574" s="90">
        <f t="shared" si="5"/>
        <v>0</v>
      </c>
      <c r="P1574" s="92" t="s">
        <v>1647</v>
      </c>
      <c r="Z1574" s="93">
        <f t="shared" si="6"/>
        <v>0</v>
      </c>
      <c r="AB1574" s="93">
        <f t="shared" si="7"/>
        <v>0</v>
      </c>
      <c r="AC1574" s="93">
        <f t="shared" si="8"/>
        <v>0</v>
      </c>
      <c r="AD1574" s="93">
        <f t="shared" si="9"/>
        <v>0</v>
      </c>
      <c r="AE1574" s="93">
        <f t="shared" si="10"/>
        <v>0</v>
      </c>
      <c r="AF1574" s="93">
        <f t="shared" si="11"/>
        <v>0</v>
      </c>
      <c r="AG1574" s="93">
        <f t="shared" si="12"/>
        <v>0</v>
      </c>
      <c r="AH1574" s="93">
        <f t="shared" si="13"/>
        <v>0</v>
      </c>
      <c r="AI1574" s="88" t="s">
        <v>55</v>
      </c>
      <c r="AJ1574" s="93">
        <f t="shared" si="14"/>
        <v>0</v>
      </c>
      <c r="AK1574" s="93">
        <f t="shared" si="15"/>
        <v>0</v>
      </c>
      <c r="AL1574" s="93">
        <f t="shared" si="16"/>
        <v>0</v>
      </c>
      <c r="AN1574" s="93">
        <v>21</v>
      </c>
      <c r="AO1574" s="93">
        <f t="shared" si="17"/>
        <v>0</v>
      </c>
      <c r="AP1574" s="93">
        <f t="shared" si="18"/>
        <v>0</v>
      </c>
      <c r="AQ1574" s="94" t="s">
        <v>148</v>
      </c>
      <c r="AV1574" s="93">
        <f t="shared" si="19"/>
        <v>0</v>
      </c>
      <c r="AW1574" s="93">
        <f t="shared" si="20"/>
        <v>0</v>
      </c>
      <c r="AX1574" s="93">
        <f t="shared" si="21"/>
        <v>0</v>
      </c>
      <c r="AY1574" s="94" t="s">
        <v>1648</v>
      </c>
      <c r="AZ1574" s="94" t="s">
        <v>1649</v>
      </c>
      <c r="BA1574" s="88" t="s">
        <v>67</v>
      </c>
      <c r="BC1574" s="93">
        <f t="shared" si="22"/>
        <v>0</v>
      </c>
      <c r="BD1574" s="93">
        <f t="shared" si="23"/>
        <v>0</v>
      </c>
      <c r="BE1574" s="93">
        <v>0</v>
      </c>
      <c r="BF1574" s="93">
        <f t="shared" si="24"/>
        <v>0</v>
      </c>
      <c r="BH1574" s="93">
        <f t="shared" si="25"/>
        <v>0</v>
      </c>
      <c r="BI1574" s="93">
        <f t="shared" si="26"/>
        <v>0</v>
      </c>
      <c r="BJ1574" s="93">
        <f t="shared" si="27"/>
        <v>0</v>
      </c>
      <c r="BK1574" s="93"/>
      <c r="BL1574" s="93"/>
      <c r="BW1574" s="93" t="str">
        <f t="shared" si="28"/>
        <v>21</v>
      </c>
      <c r="BX1574" s="2" t="s">
        <v>1710</v>
      </c>
    </row>
    <row r="1575" spans="1:76" s="81" customFormat="1" x14ac:dyDescent="0.25">
      <c r="A1575" s="109" t="s">
        <v>54</v>
      </c>
      <c r="B1575" s="74" t="s">
        <v>55</v>
      </c>
      <c r="C1575" s="74" t="s">
        <v>1711</v>
      </c>
      <c r="D1575" s="180" t="s">
        <v>1712</v>
      </c>
      <c r="E1575" s="180"/>
      <c r="F1575" s="85" t="s">
        <v>4</v>
      </c>
      <c r="G1575" s="85" t="s">
        <v>4</v>
      </c>
      <c r="H1575" s="98"/>
      <c r="I1575" s="85" t="s">
        <v>4</v>
      </c>
      <c r="J1575" s="86">
        <f>SUM(J1576:J1591)</f>
        <v>0</v>
      </c>
      <c r="K1575" s="86">
        <f>SUM(K1576:K1591)</f>
        <v>0</v>
      </c>
      <c r="L1575" s="86">
        <f>SUM(L1576:L1591)</f>
        <v>0</v>
      </c>
      <c r="M1575" s="86">
        <f>SUM(M1576:M1591)</f>
        <v>0</v>
      </c>
      <c r="N1575" s="87" t="s">
        <v>54</v>
      </c>
      <c r="O1575" s="86">
        <f>SUM(O1576:O1591)</f>
        <v>0</v>
      </c>
      <c r="P1575" s="87" t="s">
        <v>54</v>
      </c>
      <c r="AI1575" s="88" t="s">
        <v>55</v>
      </c>
      <c r="AS1575" s="89">
        <f>SUM(AJ1576:AJ1591)</f>
        <v>0</v>
      </c>
      <c r="AT1575" s="89">
        <f>SUM(AK1576:AK1591)</f>
        <v>0</v>
      </c>
      <c r="AU1575" s="89">
        <f>SUM(AL1576:AL1591)</f>
        <v>0</v>
      </c>
    </row>
    <row r="1576" spans="1:76" s="81" customFormat="1" ht="25.5" x14ac:dyDescent="0.25">
      <c r="A1576" s="66" t="s">
        <v>1717</v>
      </c>
      <c r="B1576" s="72" t="s">
        <v>55</v>
      </c>
      <c r="C1576" s="72" t="s">
        <v>1714</v>
      </c>
      <c r="D1576" s="174" t="s">
        <v>1715</v>
      </c>
      <c r="E1576" s="174"/>
      <c r="F1576" s="72" t="s">
        <v>203</v>
      </c>
      <c r="G1576" s="90">
        <v>1</v>
      </c>
      <c r="H1576" s="91"/>
      <c r="I1576" s="92" t="s">
        <v>63</v>
      </c>
      <c r="J1576" s="90">
        <f t="shared" ref="J1576:J1591" si="29">G1576*AO1576</f>
        <v>0</v>
      </c>
      <c r="K1576" s="90">
        <f t="shared" ref="K1576:K1591" si="30">G1576*AP1576</f>
        <v>0</v>
      </c>
      <c r="L1576" s="90">
        <f t="shared" ref="L1576:L1591" si="31">G1576*H1576</f>
        <v>0</v>
      </c>
      <c r="M1576" s="90">
        <f t="shared" ref="M1576:M1591" si="32">L1576*(1+BW1576/100)</f>
        <v>0</v>
      </c>
      <c r="N1576" s="90">
        <v>0</v>
      </c>
      <c r="O1576" s="90">
        <f t="shared" ref="O1576:O1591" si="33">G1576*N1576</f>
        <v>0</v>
      </c>
      <c r="P1576" s="92" t="s">
        <v>1647</v>
      </c>
      <c r="Z1576" s="93">
        <f t="shared" ref="Z1576:Z1591" si="34">IF(AQ1576="5",BJ1576,0)</f>
        <v>0</v>
      </c>
      <c r="AB1576" s="93">
        <f t="shared" ref="AB1576:AB1591" si="35">IF(AQ1576="1",BH1576,0)</f>
        <v>0</v>
      </c>
      <c r="AC1576" s="93">
        <f t="shared" ref="AC1576:AC1591" si="36">IF(AQ1576="1",BI1576,0)</f>
        <v>0</v>
      </c>
      <c r="AD1576" s="93">
        <f t="shared" ref="AD1576:AD1591" si="37">IF(AQ1576="7",BH1576,0)</f>
        <v>0</v>
      </c>
      <c r="AE1576" s="93">
        <f t="shared" ref="AE1576:AE1591" si="38">IF(AQ1576="7",BI1576,0)</f>
        <v>0</v>
      </c>
      <c r="AF1576" s="93">
        <f t="shared" ref="AF1576:AF1591" si="39">IF(AQ1576="2",BH1576,0)</f>
        <v>0</v>
      </c>
      <c r="AG1576" s="93">
        <f t="shared" ref="AG1576:AG1591" si="40">IF(AQ1576="2",BI1576,0)</f>
        <v>0</v>
      </c>
      <c r="AH1576" s="93">
        <f t="shared" ref="AH1576:AH1591" si="41">IF(AQ1576="0",BJ1576,0)</f>
        <v>0</v>
      </c>
      <c r="AI1576" s="88" t="s">
        <v>55</v>
      </c>
      <c r="AJ1576" s="93">
        <f t="shared" ref="AJ1576:AJ1591" si="42">IF(AN1576=0,L1576,0)</f>
        <v>0</v>
      </c>
      <c r="AK1576" s="93">
        <f t="shared" ref="AK1576:AK1591" si="43">IF(AN1576=12,L1576,0)</f>
        <v>0</v>
      </c>
      <c r="AL1576" s="93">
        <f t="shared" ref="AL1576:AL1591" si="44">IF(AN1576=21,L1576,0)</f>
        <v>0</v>
      </c>
      <c r="AN1576" s="93">
        <v>21</v>
      </c>
      <c r="AO1576" s="93">
        <f t="shared" ref="AO1576:AO1591" si="45">H1576*0</f>
        <v>0</v>
      </c>
      <c r="AP1576" s="93">
        <f t="shared" ref="AP1576:AP1591" si="46">H1576*(1-0)</f>
        <v>0</v>
      </c>
      <c r="AQ1576" s="94" t="s">
        <v>148</v>
      </c>
      <c r="AV1576" s="93">
        <f t="shared" ref="AV1576:AV1591" si="47">AW1576+AX1576</f>
        <v>0</v>
      </c>
      <c r="AW1576" s="93">
        <f t="shared" ref="AW1576:AW1591" si="48">G1576*AO1576</f>
        <v>0</v>
      </c>
      <c r="AX1576" s="93">
        <f t="shared" ref="AX1576:AX1591" si="49">G1576*AP1576</f>
        <v>0</v>
      </c>
      <c r="AY1576" s="94" t="s">
        <v>1716</v>
      </c>
      <c r="AZ1576" s="94" t="s">
        <v>1649</v>
      </c>
      <c r="BA1576" s="88" t="s">
        <v>67</v>
      </c>
      <c r="BC1576" s="93">
        <f t="shared" ref="BC1576:BC1591" si="50">AW1576+AX1576</f>
        <v>0</v>
      </c>
      <c r="BD1576" s="93">
        <f t="shared" ref="BD1576:BD1591" si="51">H1576/(100-BE1576)*100</f>
        <v>0</v>
      </c>
      <c r="BE1576" s="93">
        <v>0</v>
      </c>
      <c r="BF1576" s="93">
        <f t="shared" ref="BF1576:BF1591" si="52">O1576</f>
        <v>0</v>
      </c>
      <c r="BH1576" s="93">
        <f t="shared" ref="BH1576:BH1591" si="53">G1576*AO1576</f>
        <v>0</v>
      </c>
      <c r="BI1576" s="93">
        <f t="shared" ref="BI1576:BI1591" si="54">G1576*AP1576</f>
        <v>0</v>
      </c>
      <c r="BJ1576" s="93">
        <f t="shared" ref="BJ1576:BJ1591" si="55">G1576*H1576</f>
        <v>0</v>
      </c>
      <c r="BK1576" s="93"/>
      <c r="BL1576" s="93"/>
      <c r="BW1576" s="93" t="str">
        <f t="shared" ref="BW1576:BW1591" si="56">I1576</f>
        <v>21</v>
      </c>
      <c r="BX1576" s="2" t="s">
        <v>1715</v>
      </c>
    </row>
    <row r="1577" spans="1:76" s="81" customFormat="1" ht="25.5" x14ac:dyDescent="0.25">
      <c r="A1577" s="66" t="s">
        <v>1720</v>
      </c>
      <c r="B1577" s="72" t="s">
        <v>55</v>
      </c>
      <c r="C1577" s="72" t="s">
        <v>1718</v>
      </c>
      <c r="D1577" s="174" t="s">
        <v>1719</v>
      </c>
      <c r="E1577" s="174"/>
      <c r="F1577" s="72" t="s">
        <v>203</v>
      </c>
      <c r="G1577" s="90">
        <v>4</v>
      </c>
      <c r="H1577" s="91"/>
      <c r="I1577" s="92" t="s">
        <v>63</v>
      </c>
      <c r="J1577" s="90">
        <f t="shared" si="29"/>
        <v>0</v>
      </c>
      <c r="K1577" s="90">
        <f t="shared" si="30"/>
        <v>0</v>
      </c>
      <c r="L1577" s="90">
        <f t="shared" si="31"/>
        <v>0</v>
      </c>
      <c r="M1577" s="90">
        <f t="shared" si="32"/>
        <v>0</v>
      </c>
      <c r="N1577" s="90">
        <v>0</v>
      </c>
      <c r="O1577" s="90">
        <f t="shared" si="33"/>
        <v>0</v>
      </c>
      <c r="P1577" s="92" t="s">
        <v>1647</v>
      </c>
      <c r="Z1577" s="93">
        <f t="shared" si="34"/>
        <v>0</v>
      </c>
      <c r="AB1577" s="93">
        <f t="shared" si="35"/>
        <v>0</v>
      </c>
      <c r="AC1577" s="93">
        <f t="shared" si="36"/>
        <v>0</v>
      </c>
      <c r="AD1577" s="93">
        <f t="shared" si="37"/>
        <v>0</v>
      </c>
      <c r="AE1577" s="93">
        <f t="shared" si="38"/>
        <v>0</v>
      </c>
      <c r="AF1577" s="93">
        <f t="shared" si="39"/>
        <v>0</v>
      </c>
      <c r="AG1577" s="93">
        <f t="shared" si="40"/>
        <v>0</v>
      </c>
      <c r="AH1577" s="93">
        <f t="shared" si="41"/>
        <v>0</v>
      </c>
      <c r="AI1577" s="88" t="s">
        <v>55</v>
      </c>
      <c r="AJ1577" s="93">
        <f t="shared" si="42"/>
        <v>0</v>
      </c>
      <c r="AK1577" s="93">
        <f t="shared" si="43"/>
        <v>0</v>
      </c>
      <c r="AL1577" s="93">
        <f t="shared" si="44"/>
        <v>0</v>
      </c>
      <c r="AN1577" s="93">
        <v>21</v>
      </c>
      <c r="AO1577" s="93">
        <f t="shared" si="45"/>
        <v>0</v>
      </c>
      <c r="AP1577" s="93">
        <f t="shared" si="46"/>
        <v>0</v>
      </c>
      <c r="AQ1577" s="94" t="s">
        <v>148</v>
      </c>
      <c r="AV1577" s="93">
        <f t="shared" si="47"/>
        <v>0</v>
      </c>
      <c r="AW1577" s="93">
        <f t="shared" si="48"/>
        <v>0</v>
      </c>
      <c r="AX1577" s="93">
        <f t="shared" si="49"/>
        <v>0</v>
      </c>
      <c r="AY1577" s="94" t="s">
        <v>1716</v>
      </c>
      <c r="AZ1577" s="94" t="s">
        <v>1649</v>
      </c>
      <c r="BA1577" s="88" t="s">
        <v>67</v>
      </c>
      <c r="BC1577" s="93">
        <f t="shared" si="50"/>
        <v>0</v>
      </c>
      <c r="BD1577" s="93">
        <f t="shared" si="51"/>
        <v>0</v>
      </c>
      <c r="BE1577" s="93">
        <v>0</v>
      </c>
      <c r="BF1577" s="93">
        <f t="shared" si="52"/>
        <v>0</v>
      </c>
      <c r="BH1577" s="93">
        <f t="shared" si="53"/>
        <v>0</v>
      </c>
      <c r="BI1577" s="93">
        <f t="shared" si="54"/>
        <v>0</v>
      </c>
      <c r="BJ1577" s="93">
        <f t="shared" si="55"/>
        <v>0</v>
      </c>
      <c r="BK1577" s="93"/>
      <c r="BL1577" s="93"/>
      <c r="BW1577" s="93" t="str">
        <f t="shared" si="56"/>
        <v>21</v>
      </c>
      <c r="BX1577" s="2" t="s">
        <v>1719</v>
      </c>
    </row>
    <row r="1578" spans="1:76" s="81" customFormat="1" ht="25.5" x14ac:dyDescent="0.25">
      <c r="A1578" s="66" t="s">
        <v>1723</v>
      </c>
      <c r="B1578" s="72" t="s">
        <v>55</v>
      </c>
      <c r="C1578" s="72" t="s">
        <v>1721</v>
      </c>
      <c r="D1578" s="174" t="s">
        <v>1722</v>
      </c>
      <c r="E1578" s="174"/>
      <c r="F1578" s="72" t="s">
        <v>203</v>
      </c>
      <c r="G1578" s="90">
        <v>3</v>
      </c>
      <c r="H1578" s="91"/>
      <c r="I1578" s="92" t="s">
        <v>63</v>
      </c>
      <c r="J1578" s="90">
        <f t="shared" si="29"/>
        <v>0</v>
      </c>
      <c r="K1578" s="90">
        <f t="shared" si="30"/>
        <v>0</v>
      </c>
      <c r="L1578" s="90">
        <f t="shared" si="31"/>
        <v>0</v>
      </c>
      <c r="M1578" s="90">
        <f t="shared" si="32"/>
        <v>0</v>
      </c>
      <c r="N1578" s="90">
        <v>0</v>
      </c>
      <c r="O1578" s="90">
        <f t="shared" si="33"/>
        <v>0</v>
      </c>
      <c r="P1578" s="92" t="s">
        <v>1647</v>
      </c>
      <c r="Z1578" s="93">
        <f t="shared" si="34"/>
        <v>0</v>
      </c>
      <c r="AB1578" s="93">
        <f t="shared" si="35"/>
        <v>0</v>
      </c>
      <c r="AC1578" s="93">
        <f t="shared" si="36"/>
        <v>0</v>
      </c>
      <c r="AD1578" s="93">
        <f t="shared" si="37"/>
        <v>0</v>
      </c>
      <c r="AE1578" s="93">
        <f t="shared" si="38"/>
        <v>0</v>
      </c>
      <c r="AF1578" s="93">
        <f t="shared" si="39"/>
        <v>0</v>
      </c>
      <c r="AG1578" s="93">
        <f t="shared" si="40"/>
        <v>0</v>
      </c>
      <c r="AH1578" s="93">
        <f t="shared" si="41"/>
        <v>0</v>
      </c>
      <c r="AI1578" s="88" t="s">
        <v>55</v>
      </c>
      <c r="AJ1578" s="93">
        <f t="shared" si="42"/>
        <v>0</v>
      </c>
      <c r="AK1578" s="93">
        <f t="shared" si="43"/>
        <v>0</v>
      </c>
      <c r="AL1578" s="93">
        <f t="shared" si="44"/>
        <v>0</v>
      </c>
      <c r="AN1578" s="93">
        <v>21</v>
      </c>
      <c r="AO1578" s="93">
        <f t="shared" si="45"/>
        <v>0</v>
      </c>
      <c r="AP1578" s="93">
        <f t="shared" si="46"/>
        <v>0</v>
      </c>
      <c r="AQ1578" s="94" t="s">
        <v>148</v>
      </c>
      <c r="AV1578" s="93">
        <f t="shared" si="47"/>
        <v>0</v>
      </c>
      <c r="AW1578" s="93">
        <f t="shared" si="48"/>
        <v>0</v>
      </c>
      <c r="AX1578" s="93">
        <f t="shared" si="49"/>
        <v>0</v>
      </c>
      <c r="AY1578" s="94" t="s">
        <v>1716</v>
      </c>
      <c r="AZ1578" s="94" t="s">
        <v>1649</v>
      </c>
      <c r="BA1578" s="88" t="s">
        <v>67</v>
      </c>
      <c r="BC1578" s="93">
        <f t="shared" si="50"/>
        <v>0</v>
      </c>
      <c r="BD1578" s="93">
        <f t="shared" si="51"/>
        <v>0</v>
      </c>
      <c r="BE1578" s="93">
        <v>0</v>
      </c>
      <c r="BF1578" s="93">
        <f t="shared" si="52"/>
        <v>0</v>
      </c>
      <c r="BH1578" s="93">
        <f t="shared" si="53"/>
        <v>0</v>
      </c>
      <c r="BI1578" s="93">
        <f t="shared" si="54"/>
        <v>0</v>
      </c>
      <c r="BJ1578" s="93">
        <f t="shared" si="55"/>
        <v>0</v>
      </c>
      <c r="BK1578" s="93"/>
      <c r="BL1578" s="93"/>
      <c r="BW1578" s="93" t="str">
        <f t="shared" si="56"/>
        <v>21</v>
      </c>
      <c r="BX1578" s="2" t="s">
        <v>1722</v>
      </c>
    </row>
    <row r="1579" spans="1:76" s="81" customFormat="1" ht="25.5" x14ac:dyDescent="0.25">
      <c r="A1579" s="66" t="s">
        <v>1725</v>
      </c>
      <c r="B1579" s="72" t="s">
        <v>55</v>
      </c>
      <c r="C1579" s="72" t="s">
        <v>1724</v>
      </c>
      <c r="D1579" s="174" t="s">
        <v>1686</v>
      </c>
      <c r="E1579" s="174"/>
      <c r="F1579" s="72" t="s">
        <v>203</v>
      </c>
      <c r="G1579" s="90">
        <v>3</v>
      </c>
      <c r="H1579" s="91"/>
      <c r="I1579" s="92" t="s">
        <v>63</v>
      </c>
      <c r="J1579" s="90">
        <f t="shared" si="29"/>
        <v>0</v>
      </c>
      <c r="K1579" s="90">
        <f t="shared" si="30"/>
        <v>0</v>
      </c>
      <c r="L1579" s="90">
        <f t="shared" si="31"/>
        <v>0</v>
      </c>
      <c r="M1579" s="90">
        <f t="shared" si="32"/>
        <v>0</v>
      </c>
      <c r="N1579" s="90">
        <v>0</v>
      </c>
      <c r="O1579" s="90">
        <f t="shared" si="33"/>
        <v>0</v>
      </c>
      <c r="P1579" s="92" t="s">
        <v>1647</v>
      </c>
      <c r="Z1579" s="93">
        <f t="shared" si="34"/>
        <v>0</v>
      </c>
      <c r="AB1579" s="93">
        <f t="shared" si="35"/>
        <v>0</v>
      </c>
      <c r="AC1579" s="93">
        <f t="shared" si="36"/>
        <v>0</v>
      </c>
      <c r="AD1579" s="93">
        <f t="shared" si="37"/>
        <v>0</v>
      </c>
      <c r="AE1579" s="93">
        <f t="shared" si="38"/>
        <v>0</v>
      </c>
      <c r="AF1579" s="93">
        <f t="shared" si="39"/>
        <v>0</v>
      </c>
      <c r="AG1579" s="93">
        <f t="shared" si="40"/>
        <v>0</v>
      </c>
      <c r="AH1579" s="93">
        <f t="shared" si="41"/>
        <v>0</v>
      </c>
      <c r="AI1579" s="88" t="s">
        <v>55</v>
      </c>
      <c r="AJ1579" s="93">
        <f t="shared" si="42"/>
        <v>0</v>
      </c>
      <c r="AK1579" s="93">
        <f t="shared" si="43"/>
        <v>0</v>
      </c>
      <c r="AL1579" s="93">
        <f t="shared" si="44"/>
        <v>0</v>
      </c>
      <c r="AN1579" s="93">
        <v>21</v>
      </c>
      <c r="AO1579" s="93">
        <f t="shared" si="45"/>
        <v>0</v>
      </c>
      <c r="AP1579" s="93">
        <f t="shared" si="46"/>
        <v>0</v>
      </c>
      <c r="AQ1579" s="94" t="s">
        <v>148</v>
      </c>
      <c r="AV1579" s="93">
        <f t="shared" si="47"/>
        <v>0</v>
      </c>
      <c r="AW1579" s="93">
        <f t="shared" si="48"/>
        <v>0</v>
      </c>
      <c r="AX1579" s="93">
        <f t="shared" si="49"/>
        <v>0</v>
      </c>
      <c r="AY1579" s="94" t="s">
        <v>1716</v>
      </c>
      <c r="AZ1579" s="94" t="s">
        <v>1649</v>
      </c>
      <c r="BA1579" s="88" t="s">
        <v>67</v>
      </c>
      <c r="BC1579" s="93">
        <f t="shared" si="50"/>
        <v>0</v>
      </c>
      <c r="BD1579" s="93">
        <f t="shared" si="51"/>
        <v>0</v>
      </c>
      <c r="BE1579" s="93">
        <v>0</v>
      </c>
      <c r="BF1579" s="93">
        <f t="shared" si="52"/>
        <v>0</v>
      </c>
      <c r="BH1579" s="93">
        <f t="shared" si="53"/>
        <v>0</v>
      </c>
      <c r="BI1579" s="93">
        <f t="shared" si="54"/>
        <v>0</v>
      </c>
      <c r="BJ1579" s="93">
        <f t="shared" si="55"/>
        <v>0</v>
      </c>
      <c r="BK1579" s="93"/>
      <c r="BL1579" s="93"/>
      <c r="BW1579" s="93" t="str">
        <f t="shared" si="56"/>
        <v>21</v>
      </c>
      <c r="BX1579" s="2" t="s">
        <v>1686</v>
      </c>
    </row>
    <row r="1580" spans="1:76" s="81" customFormat="1" ht="25.5" x14ac:dyDescent="0.25">
      <c r="A1580" s="66" t="s">
        <v>1728</v>
      </c>
      <c r="B1580" s="72" t="s">
        <v>55</v>
      </c>
      <c r="C1580" s="72" t="s">
        <v>1726</v>
      </c>
      <c r="D1580" s="174" t="s">
        <v>1727</v>
      </c>
      <c r="E1580" s="174"/>
      <c r="F1580" s="72" t="s">
        <v>203</v>
      </c>
      <c r="G1580" s="90">
        <v>1</v>
      </c>
      <c r="H1580" s="91"/>
      <c r="I1580" s="92" t="s">
        <v>63</v>
      </c>
      <c r="J1580" s="90">
        <f t="shared" si="29"/>
        <v>0</v>
      </c>
      <c r="K1580" s="90">
        <f t="shared" si="30"/>
        <v>0</v>
      </c>
      <c r="L1580" s="90">
        <f t="shared" si="31"/>
        <v>0</v>
      </c>
      <c r="M1580" s="90">
        <f t="shared" si="32"/>
        <v>0</v>
      </c>
      <c r="N1580" s="90">
        <v>0</v>
      </c>
      <c r="O1580" s="90">
        <f t="shared" si="33"/>
        <v>0</v>
      </c>
      <c r="P1580" s="92" t="s">
        <v>1647</v>
      </c>
      <c r="Z1580" s="93">
        <f t="shared" si="34"/>
        <v>0</v>
      </c>
      <c r="AB1580" s="93">
        <f t="shared" si="35"/>
        <v>0</v>
      </c>
      <c r="AC1580" s="93">
        <f t="shared" si="36"/>
        <v>0</v>
      </c>
      <c r="AD1580" s="93">
        <f t="shared" si="37"/>
        <v>0</v>
      </c>
      <c r="AE1580" s="93">
        <f t="shared" si="38"/>
        <v>0</v>
      </c>
      <c r="AF1580" s="93">
        <f t="shared" si="39"/>
        <v>0</v>
      </c>
      <c r="AG1580" s="93">
        <f t="shared" si="40"/>
        <v>0</v>
      </c>
      <c r="AH1580" s="93">
        <f t="shared" si="41"/>
        <v>0</v>
      </c>
      <c r="AI1580" s="88" t="s">
        <v>55</v>
      </c>
      <c r="AJ1580" s="93">
        <f t="shared" si="42"/>
        <v>0</v>
      </c>
      <c r="AK1580" s="93">
        <f t="shared" si="43"/>
        <v>0</v>
      </c>
      <c r="AL1580" s="93">
        <f t="shared" si="44"/>
        <v>0</v>
      </c>
      <c r="AN1580" s="93">
        <v>21</v>
      </c>
      <c r="AO1580" s="93">
        <f t="shared" si="45"/>
        <v>0</v>
      </c>
      <c r="AP1580" s="93">
        <f t="shared" si="46"/>
        <v>0</v>
      </c>
      <c r="AQ1580" s="94" t="s">
        <v>148</v>
      </c>
      <c r="AV1580" s="93">
        <f t="shared" si="47"/>
        <v>0</v>
      </c>
      <c r="AW1580" s="93">
        <f t="shared" si="48"/>
        <v>0</v>
      </c>
      <c r="AX1580" s="93">
        <f t="shared" si="49"/>
        <v>0</v>
      </c>
      <c r="AY1580" s="94" t="s">
        <v>1716</v>
      </c>
      <c r="AZ1580" s="94" t="s">
        <v>1649</v>
      </c>
      <c r="BA1580" s="88" t="s">
        <v>67</v>
      </c>
      <c r="BC1580" s="93">
        <f t="shared" si="50"/>
        <v>0</v>
      </c>
      <c r="BD1580" s="93">
        <f t="shared" si="51"/>
        <v>0</v>
      </c>
      <c r="BE1580" s="93">
        <v>0</v>
      </c>
      <c r="BF1580" s="93">
        <f t="shared" si="52"/>
        <v>0</v>
      </c>
      <c r="BH1580" s="93">
        <f t="shared" si="53"/>
        <v>0</v>
      </c>
      <c r="BI1580" s="93">
        <f t="shared" si="54"/>
        <v>0</v>
      </c>
      <c r="BJ1580" s="93">
        <f t="shared" si="55"/>
        <v>0</v>
      </c>
      <c r="BK1580" s="93"/>
      <c r="BL1580" s="93"/>
      <c r="BW1580" s="93" t="str">
        <f t="shared" si="56"/>
        <v>21</v>
      </c>
      <c r="BX1580" s="2" t="s">
        <v>1727</v>
      </c>
    </row>
    <row r="1581" spans="1:76" s="81" customFormat="1" ht="25.5" x14ac:dyDescent="0.25">
      <c r="A1581" s="66" t="s">
        <v>1730</v>
      </c>
      <c r="B1581" s="72" t="s">
        <v>55</v>
      </c>
      <c r="C1581" s="72" t="s">
        <v>1729</v>
      </c>
      <c r="D1581" s="174" t="s">
        <v>1661</v>
      </c>
      <c r="E1581" s="174"/>
      <c r="F1581" s="72" t="s">
        <v>203</v>
      </c>
      <c r="G1581" s="90">
        <v>4</v>
      </c>
      <c r="H1581" s="91"/>
      <c r="I1581" s="92" t="s">
        <v>63</v>
      </c>
      <c r="J1581" s="90">
        <f t="shared" si="29"/>
        <v>0</v>
      </c>
      <c r="K1581" s="90">
        <f t="shared" si="30"/>
        <v>0</v>
      </c>
      <c r="L1581" s="90">
        <f t="shared" si="31"/>
        <v>0</v>
      </c>
      <c r="M1581" s="90">
        <f t="shared" si="32"/>
        <v>0</v>
      </c>
      <c r="N1581" s="90">
        <v>0</v>
      </c>
      <c r="O1581" s="90">
        <f t="shared" si="33"/>
        <v>0</v>
      </c>
      <c r="P1581" s="92" t="s">
        <v>1647</v>
      </c>
      <c r="Z1581" s="93">
        <f t="shared" si="34"/>
        <v>0</v>
      </c>
      <c r="AB1581" s="93">
        <f t="shared" si="35"/>
        <v>0</v>
      </c>
      <c r="AC1581" s="93">
        <f t="shared" si="36"/>
        <v>0</v>
      </c>
      <c r="AD1581" s="93">
        <f t="shared" si="37"/>
        <v>0</v>
      </c>
      <c r="AE1581" s="93">
        <f t="shared" si="38"/>
        <v>0</v>
      </c>
      <c r="AF1581" s="93">
        <f t="shared" si="39"/>
        <v>0</v>
      </c>
      <c r="AG1581" s="93">
        <f t="shared" si="40"/>
        <v>0</v>
      </c>
      <c r="AH1581" s="93">
        <f t="shared" si="41"/>
        <v>0</v>
      </c>
      <c r="AI1581" s="88" t="s">
        <v>55</v>
      </c>
      <c r="AJ1581" s="93">
        <f t="shared" si="42"/>
        <v>0</v>
      </c>
      <c r="AK1581" s="93">
        <f t="shared" si="43"/>
        <v>0</v>
      </c>
      <c r="AL1581" s="93">
        <f t="shared" si="44"/>
        <v>0</v>
      </c>
      <c r="AN1581" s="93">
        <v>21</v>
      </c>
      <c r="AO1581" s="93">
        <f t="shared" si="45"/>
        <v>0</v>
      </c>
      <c r="AP1581" s="93">
        <f t="shared" si="46"/>
        <v>0</v>
      </c>
      <c r="AQ1581" s="94" t="s">
        <v>148</v>
      </c>
      <c r="AV1581" s="93">
        <f t="shared" si="47"/>
        <v>0</v>
      </c>
      <c r="AW1581" s="93">
        <f t="shared" si="48"/>
        <v>0</v>
      </c>
      <c r="AX1581" s="93">
        <f t="shared" si="49"/>
        <v>0</v>
      </c>
      <c r="AY1581" s="94" t="s">
        <v>1716</v>
      </c>
      <c r="AZ1581" s="94" t="s">
        <v>1649</v>
      </c>
      <c r="BA1581" s="88" t="s">
        <v>67</v>
      </c>
      <c r="BC1581" s="93">
        <f t="shared" si="50"/>
        <v>0</v>
      </c>
      <c r="BD1581" s="93">
        <f t="shared" si="51"/>
        <v>0</v>
      </c>
      <c r="BE1581" s="93">
        <v>0</v>
      </c>
      <c r="BF1581" s="93">
        <f t="shared" si="52"/>
        <v>0</v>
      </c>
      <c r="BH1581" s="93">
        <f t="shared" si="53"/>
        <v>0</v>
      </c>
      <c r="BI1581" s="93">
        <f t="shared" si="54"/>
        <v>0</v>
      </c>
      <c r="BJ1581" s="93">
        <f t="shared" si="55"/>
        <v>0</v>
      </c>
      <c r="BK1581" s="93"/>
      <c r="BL1581" s="93"/>
      <c r="BW1581" s="93" t="str">
        <f t="shared" si="56"/>
        <v>21</v>
      </c>
      <c r="BX1581" s="2" t="s">
        <v>1661</v>
      </c>
    </row>
    <row r="1582" spans="1:76" s="81" customFormat="1" ht="25.5" x14ac:dyDescent="0.25">
      <c r="A1582" s="66" t="s">
        <v>1733</v>
      </c>
      <c r="B1582" s="72" t="s">
        <v>55</v>
      </c>
      <c r="C1582" s="72" t="s">
        <v>1731</v>
      </c>
      <c r="D1582" s="174" t="s">
        <v>1732</v>
      </c>
      <c r="E1582" s="174"/>
      <c r="F1582" s="72" t="s">
        <v>203</v>
      </c>
      <c r="G1582" s="90">
        <v>1</v>
      </c>
      <c r="H1582" s="91"/>
      <c r="I1582" s="92" t="s">
        <v>63</v>
      </c>
      <c r="J1582" s="90">
        <f t="shared" si="29"/>
        <v>0</v>
      </c>
      <c r="K1582" s="90">
        <f t="shared" si="30"/>
        <v>0</v>
      </c>
      <c r="L1582" s="90">
        <f t="shared" si="31"/>
        <v>0</v>
      </c>
      <c r="M1582" s="90">
        <f t="shared" si="32"/>
        <v>0</v>
      </c>
      <c r="N1582" s="90">
        <v>0</v>
      </c>
      <c r="O1582" s="90">
        <f t="shared" si="33"/>
        <v>0</v>
      </c>
      <c r="P1582" s="92" t="s">
        <v>1647</v>
      </c>
      <c r="Z1582" s="93">
        <f t="shared" si="34"/>
        <v>0</v>
      </c>
      <c r="AB1582" s="93">
        <f t="shared" si="35"/>
        <v>0</v>
      </c>
      <c r="AC1582" s="93">
        <f t="shared" si="36"/>
        <v>0</v>
      </c>
      <c r="AD1582" s="93">
        <f t="shared" si="37"/>
        <v>0</v>
      </c>
      <c r="AE1582" s="93">
        <f t="shared" si="38"/>
        <v>0</v>
      </c>
      <c r="AF1582" s="93">
        <f t="shared" si="39"/>
        <v>0</v>
      </c>
      <c r="AG1582" s="93">
        <f t="shared" si="40"/>
        <v>0</v>
      </c>
      <c r="AH1582" s="93">
        <f t="shared" si="41"/>
        <v>0</v>
      </c>
      <c r="AI1582" s="88" t="s">
        <v>55</v>
      </c>
      <c r="AJ1582" s="93">
        <f t="shared" si="42"/>
        <v>0</v>
      </c>
      <c r="AK1582" s="93">
        <f t="shared" si="43"/>
        <v>0</v>
      </c>
      <c r="AL1582" s="93">
        <f t="shared" si="44"/>
        <v>0</v>
      </c>
      <c r="AN1582" s="93">
        <v>21</v>
      </c>
      <c r="AO1582" s="93">
        <f t="shared" si="45"/>
        <v>0</v>
      </c>
      <c r="AP1582" s="93">
        <f t="shared" si="46"/>
        <v>0</v>
      </c>
      <c r="AQ1582" s="94" t="s">
        <v>148</v>
      </c>
      <c r="AV1582" s="93">
        <f t="shared" si="47"/>
        <v>0</v>
      </c>
      <c r="AW1582" s="93">
        <f t="shared" si="48"/>
        <v>0</v>
      </c>
      <c r="AX1582" s="93">
        <f t="shared" si="49"/>
        <v>0</v>
      </c>
      <c r="AY1582" s="94" t="s">
        <v>1716</v>
      </c>
      <c r="AZ1582" s="94" t="s">
        <v>1649</v>
      </c>
      <c r="BA1582" s="88" t="s">
        <v>67</v>
      </c>
      <c r="BC1582" s="93">
        <f t="shared" si="50"/>
        <v>0</v>
      </c>
      <c r="BD1582" s="93">
        <f t="shared" si="51"/>
        <v>0</v>
      </c>
      <c r="BE1582" s="93">
        <v>0</v>
      </c>
      <c r="BF1582" s="93">
        <f t="shared" si="52"/>
        <v>0</v>
      </c>
      <c r="BH1582" s="93">
        <f t="shared" si="53"/>
        <v>0</v>
      </c>
      <c r="BI1582" s="93">
        <f t="shared" si="54"/>
        <v>0</v>
      </c>
      <c r="BJ1582" s="93">
        <f t="shared" si="55"/>
        <v>0</v>
      </c>
      <c r="BK1582" s="93"/>
      <c r="BL1582" s="93"/>
      <c r="BW1582" s="93" t="str">
        <f t="shared" si="56"/>
        <v>21</v>
      </c>
      <c r="BX1582" s="2" t="s">
        <v>1732</v>
      </c>
    </row>
    <row r="1583" spans="1:76" s="81" customFormat="1" ht="25.5" x14ac:dyDescent="0.25">
      <c r="A1583" s="66" t="s">
        <v>1736</v>
      </c>
      <c r="B1583" s="72" t="s">
        <v>55</v>
      </c>
      <c r="C1583" s="72" t="s">
        <v>1734</v>
      </c>
      <c r="D1583" s="174" t="s">
        <v>1735</v>
      </c>
      <c r="E1583" s="174"/>
      <c r="F1583" s="72" t="s">
        <v>1671</v>
      </c>
      <c r="G1583" s="90">
        <v>2</v>
      </c>
      <c r="H1583" s="91"/>
      <c r="I1583" s="92" t="s">
        <v>63</v>
      </c>
      <c r="J1583" s="90">
        <f t="shared" si="29"/>
        <v>0</v>
      </c>
      <c r="K1583" s="90">
        <f t="shared" si="30"/>
        <v>0</v>
      </c>
      <c r="L1583" s="90">
        <f t="shared" si="31"/>
        <v>0</v>
      </c>
      <c r="M1583" s="90">
        <f t="shared" si="32"/>
        <v>0</v>
      </c>
      <c r="N1583" s="90">
        <v>0</v>
      </c>
      <c r="O1583" s="90">
        <f t="shared" si="33"/>
        <v>0</v>
      </c>
      <c r="P1583" s="92" t="s">
        <v>1647</v>
      </c>
      <c r="Z1583" s="93">
        <f t="shared" si="34"/>
        <v>0</v>
      </c>
      <c r="AB1583" s="93">
        <f t="shared" si="35"/>
        <v>0</v>
      </c>
      <c r="AC1583" s="93">
        <f t="shared" si="36"/>
        <v>0</v>
      </c>
      <c r="AD1583" s="93">
        <f t="shared" si="37"/>
        <v>0</v>
      </c>
      <c r="AE1583" s="93">
        <f t="shared" si="38"/>
        <v>0</v>
      </c>
      <c r="AF1583" s="93">
        <f t="shared" si="39"/>
        <v>0</v>
      </c>
      <c r="AG1583" s="93">
        <f t="shared" si="40"/>
        <v>0</v>
      </c>
      <c r="AH1583" s="93">
        <f t="shared" si="41"/>
        <v>0</v>
      </c>
      <c r="AI1583" s="88" t="s">
        <v>55</v>
      </c>
      <c r="AJ1583" s="93">
        <f t="shared" si="42"/>
        <v>0</v>
      </c>
      <c r="AK1583" s="93">
        <f t="shared" si="43"/>
        <v>0</v>
      </c>
      <c r="AL1583" s="93">
        <f t="shared" si="44"/>
        <v>0</v>
      </c>
      <c r="AN1583" s="93">
        <v>21</v>
      </c>
      <c r="AO1583" s="93">
        <f t="shared" si="45"/>
        <v>0</v>
      </c>
      <c r="AP1583" s="93">
        <f t="shared" si="46"/>
        <v>0</v>
      </c>
      <c r="AQ1583" s="94" t="s">
        <v>148</v>
      </c>
      <c r="AV1583" s="93">
        <f t="shared" si="47"/>
        <v>0</v>
      </c>
      <c r="AW1583" s="93">
        <f t="shared" si="48"/>
        <v>0</v>
      </c>
      <c r="AX1583" s="93">
        <f t="shared" si="49"/>
        <v>0</v>
      </c>
      <c r="AY1583" s="94" t="s">
        <v>1716</v>
      </c>
      <c r="AZ1583" s="94" t="s">
        <v>1649</v>
      </c>
      <c r="BA1583" s="88" t="s">
        <v>67</v>
      </c>
      <c r="BC1583" s="93">
        <f t="shared" si="50"/>
        <v>0</v>
      </c>
      <c r="BD1583" s="93">
        <f t="shared" si="51"/>
        <v>0</v>
      </c>
      <c r="BE1583" s="93">
        <v>0</v>
      </c>
      <c r="BF1583" s="93">
        <f t="shared" si="52"/>
        <v>0</v>
      </c>
      <c r="BH1583" s="93">
        <f t="shared" si="53"/>
        <v>0</v>
      </c>
      <c r="BI1583" s="93">
        <f t="shared" si="54"/>
        <v>0</v>
      </c>
      <c r="BJ1583" s="93">
        <f t="shared" si="55"/>
        <v>0</v>
      </c>
      <c r="BK1583" s="93"/>
      <c r="BL1583" s="93"/>
      <c r="BW1583" s="93" t="str">
        <f t="shared" si="56"/>
        <v>21</v>
      </c>
      <c r="BX1583" s="2" t="s">
        <v>1735</v>
      </c>
    </row>
    <row r="1584" spans="1:76" s="81" customFormat="1" ht="25.5" x14ac:dyDescent="0.25">
      <c r="A1584" s="66" t="s">
        <v>1738</v>
      </c>
      <c r="B1584" s="72" t="s">
        <v>55</v>
      </c>
      <c r="C1584" s="72" t="s">
        <v>1737</v>
      </c>
      <c r="D1584" s="174" t="s">
        <v>1674</v>
      </c>
      <c r="E1584" s="174"/>
      <c r="F1584" s="72" t="s">
        <v>1671</v>
      </c>
      <c r="G1584" s="90">
        <v>10</v>
      </c>
      <c r="H1584" s="91"/>
      <c r="I1584" s="92" t="s">
        <v>63</v>
      </c>
      <c r="J1584" s="90">
        <f t="shared" si="29"/>
        <v>0</v>
      </c>
      <c r="K1584" s="90">
        <f t="shared" si="30"/>
        <v>0</v>
      </c>
      <c r="L1584" s="90">
        <f t="shared" si="31"/>
        <v>0</v>
      </c>
      <c r="M1584" s="90">
        <f t="shared" si="32"/>
        <v>0</v>
      </c>
      <c r="N1584" s="90">
        <v>0</v>
      </c>
      <c r="O1584" s="90">
        <f t="shared" si="33"/>
        <v>0</v>
      </c>
      <c r="P1584" s="92" t="s">
        <v>1647</v>
      </c>
      <c r="Z1584" s="93">
        <f t="shared" si="34"/>
        <v>0</v>
      </c>
      <c r="AB1584" s="93">
        <f t="shared" si="35"/>
        <v>0</v>
      </c>
      <c r="AC1584" s="93">
        <f t="shared" si="36"/>
        <v>0</v>
      </c>
      <c r="AD1584" s="93">
        <f t="shared" si="37"/>
        <v>0</v>
      </c>
      <c r="AE1584" s="93">
        <f t="shared" si="38"/>
        <v>0</v>
      </c>
      <c r="AF1584" s="93">
        <f t="shared" si="39"/>
        <v>0</v>
      </c>
      <c r="AG1584" s="93">
        <f t="shared" si="40"/>
        <v>0</v>
      </c>
      <c r="AH1584" s="93">
        <f t="shared" si="41"/>
        <v>0</v>
      </c>
      <c r="AI1584" s="88" t="s">
        <v>55</v>
      </c>
      <c r="AJ1584" s="93">
        <f t="shared" si="42"/>
        <v>0</v>
      </c>
      <c r="AK1584" s="93">
        <f t="shared" si="43"/>
        <v>0</v>
      </c>
      <c r="AL1584" s="93">
        <f t="shared" si="44"/>
        <v>0</v>
      </c>
      <c r="AN1584" s="93">
        <v>21</v>
      </c>
      <c r="AO1584" s="93">
        <f t="shared" si="45"/>
        <v>0</v>
      </c>
      <c r="AP1584" s="93">
        <f t="shared" si="46"/>
        <v>0</v>
      </c>
      <c r="AQ1584" s="94" t="s">
        <v>148</v>
      </c>
      <c r="AV1584" s="93">
        <f t="shared" si="47"/>
        <v>0</v>
      </c>
      <c r="AW1584" s="93">
        <f t="shared" si="48"/>
        <v>0</v>
      </c>
      <c r="AX1584" s="93">
        <f t="shared" si="49"/>
        <v>0</v>
      </c>
      <c r="AY1584" s="94" t="s">
        <v>1716</v>
      </c>
      <c r="AZ1584" s="94" t="s">
        <v>1649</v>
      </c>
      <c r="BA1584" s="88" t="s">
        <v>67</v>
      </c>
      <c r="BC1584" s="93">
        <f t="shared" si="50"/>
        <v>0</v>
      </c>
      <c r="BD1584" s="93">
        <f t="shared" si="51"/>
        <v>0</v>
      </c>
      <c r="BE1584" s="93">
        <v>0</v>
      </c>
      <c r="BF1584" s="93">
        <f t="shared" si="52"/>
        <v>0</v>
      </c>
      <c r="BH1584" s="93">
        <f t="shared" si="53"/>
        <v>0</v>
      </c>
      <c r="BI1584" s="93">
        <f t="shared" si="54"/>
        <v>0</v>
      </c>
      <c r="BJ1584" s="93">
        <f t="shared" si="55"/>
        <v>0</v>
      </c>
      <c r="BK1584" s="93"/>
      <c r="BL1584" s="93"/>
      <c r="BW1584" s="93" t="str">
        <f t="shared" si="56"/>
        <v>21</v>
      </c>
      <c r="BX1584" s="2" t="s">
        <v>1674</v>
      </c>
    </row>
    <row r="1585" spans="1:76" s="81" customFormat="1" ht="25.5" x14ac:dyDescent="0.25">
      <c r="A1585" s="66" t="s">
        <v>1741</v>
      </c>
      <c r="B1585" s="72" t="s">
        <v>55</v>
      </c>
      <c r="C1585" s="72" t="s">
        <v>1739</v>
      </c>
      <c r="D1585" s="174" t="s">
        <v>1740</v>
      </c>
      <c r="E1585" s="174"/>
      <c r="F1585" s="72" t="s">
        <v>203</v>
      </c>
      <c r="G1585" s="90">
        <v>2</v>
      </c>
      <c r="H1585" s="91"/>
      <c r="I1585" s="92" t="s">
        <v>63</v>
      </c>
      <c r="J1585" s="90">
        <f t="shared" si="29"/>
        <v>0</v>
      </c>
      <c r="K1585" s="90">
        <f t="shared" si="30"/>
        <v>0</v>
      </c>
      <c r="L1585" s="90">
        <f t="shared" si="31"/>
        <v>0</v>
      </c>
      <c r="M1585" s="90">
        <f t="shared" si="32"/>
        <v>0</v>
      </c>
      <c r="N1585" s="90">
        <v>0</v>
      </c>
      <c r="O1585" s="90">
        <f t="shared" si="33"/>
        <v>0</v>
      </c>
      <c r="P1585" s="92" t="s">
        <v>1647</v>
      </c>
      <c r="Z1585" s="93">
        <f t="shared" si="34"/>
        <v>0</v>
      </c>
      <c r="AB1585" s="93">
        <f t="shared" si="35"/>
        <v>0</v>
      </c>
      <c r="AC1585" s="93">
        <f t="shared" si="36"/>
        <v>0</v>
      </c>
      <c r="AD1585" s="93">
        <f t="shared" si="37"/>
        <v>0</v>
      </c>
      <c r="AE1585" s="93">
        <f t="shared" si="38"/>
        <v>0</v>
      </c>
      <c r="AF1585" s="93">
        <f t="shared" si="39"/>
        <v>0</v>
      </c>
      <c r="AG1585" s="93">
        <f t="shared" si="40"/>
        <v>0</v>
      </c>
      <c r="AH1585" s="93">
        <f t="shared" si="41"/>
        <v>0</v>
      </c>
      <c r="AI1585" s="88" t="s">
        <v>55</v>
      </c>
      <c r="AJ1585" s="93">
        <f t="shared" si="42"/>
        <v>0</v>
      </c>
      <c r="AK1585" s="93">
        <f t="shared" si="43"/>
        <v>0</v>
      </c>
      <c r="AL1585" s="93">
        <f t="shared" si="44"/>
        <v>0</v>
      </c>
      <c r="AN1585" s="93">
        <v>21</v>
      </c>
      <c r="AO1585" s="93">
        <f t="shared" si="45"/>
        <v>0</v>
      </c>
      <c r="AP1585" s="93">
        <f t="shared" si="46"/>
        <v>0</v>
      </c>
      <c r="AQ1585" s="94" t="s">
        <v>148</v>
      </c>
      <c r="AV1585" s="93">
        <f t="shared" si="47"/>
        <v>0</v>
      </c>
      <c r="AW1585" s="93">
        <f t="shared" si="48"/>
        <v>0</v>
      </c>
      <c r="AX1585" s="93">
        <f t="shared" si="49"/>
        <v>0</v>
      </c>
      <c r="AY1585" s="94" t="s">
        <v>1716</v>
      </c>
      <c r="AZ1585" s="94" t="s">
        <v>1649</v>
      </c>
      <c r="BA1585" s="88" t="s">
        <v>67</v>
      </c>
      <c r="BC1585" s="93">
        <f t="shared" si="50"/>
        <v>0</v>
      </c>
      <c r="BD1585" s="93">
        <f t="shared" si="51"/>
        <v>0</v>
      </c>
      <c r="BE1585" s="93">
        <v>0</v>
      </c>
      <c r="BF1585" s="93">
        <f t="shared" si="52"/>
        <v>0</v>
      </c>
      <c r="BH1585" s="93">
        <f t="shared" si="53"/>
        <v>0</v>
      </c>
      <c r="BI1585" s="93">
        <f t="shared" si="54"/>
        <v>0</v>
      </c>
      <c r="BJ1585" s="93">
        <f t="shared" si="55"/>
        <v>0</v>
      </c>
      <c r="BK1585" s="93"/>
      <c r="BL1585" s="93"/>
      <c r="BW1585" s="93" t="str">
        <f t="shared" si="56"/>
        <v>21</v>
      </c>
      <c r="BX1585" s="2" t="s">
        <v>1740</v>
      </c>
    </row>
    <row r="1586" spans="1:76" s="81" customFormat="1" ht="25.5" x14ac:dyDescent="0.25">
      <c r="A1586" s="66" t="s">
        <v>1744</v>
      </c>
      <c r="B1586" s="72" t="s">
        <v>55</v>
      </c>
      <c r="C1586" s="72" t="s">
        <v>1742</v>
      </c>
      <c r="D1586" s="174" t="s">
        <v>1743</v>
      </c>
      <c r="E1586" s="174"/>
      <c r="F1586" s="72" t="s">
        <v>203</v>
      </c>
      <c r="G1586" s="90">
        <v>4</v>
      </c>
      <c r="H1586" s="91"/>
      <c r="I1586" s="92" t="s">
        <v>63</v>
      </c>
      <c r="J1586" s="90">
        <f t="shared" si="29"/>
        <v>0</v>
      </c>
      <c r="K1586" s="90">
        <f t="shared" si="30"/>
        <v>0</v>
      </c>
      <c r="L1586" s="90">
        <f t="shared" si="31"/>
        <v>0</v>
      </c>
      <c r="M1586" s="90">
        <f t="shared" si="32"/>
        <v>0</v>
      </c>
      <c r="N1586" s="90">
        <v>0</v>
      </c>
      <c r="O1586" s="90">
        <f t="shared" si="33"/>
        <v>0</v>
      </c>
      <c r="P1586" s="92" t="s">
        <v>1647</v>
      </c>
      <c r="Z1586" s="93">
        <f t="shared" si="34"/>
        <v>0</v>
      </c>
      <c r="AB1586" s="93">
        <f t="shared" si="35"/>
        <v>0</v>
      </c>
      <c r="AC1586" s="93">
        <f t="shared" si="36"/>
        <v>0</v>
      </c>
      <c r="AD1586" s="93">
        <f t="shared" si="37"/>
        <v>0</v>
      </c>
      <c r="AE1586" s="93">
        <f t="shared" si="38"/>
        <v>0</v>
      </c>
      <c r="AF1586" s="93">
        <f t="shared" si="39"/>
        <v>0</v>
      </c>
      <c r="AG1586" s="93">
        <f t="shared" si="40"/>
        <v>0</v>
      </c>
      <c r="AH1586" s="93">
        <f t="shared" si="41"/>
        <v>0</v>
      </c>
      <c r="AI1586" s="88" t="s">
        <v>55</v>
      </c>
      <c r="AJ1586" s="93">
        <f t="shared" si="42"/>
        <v>0</v>
      </c>
      <c r="AK1586" s="93">
        <f t="shared" si="43"/>
        <v>0</v>
      </c>
      <c r="AL1586" s="93">
        <f t="shared" si="44"/>
        <v>0</v>
      </c>
      <c r="AN1586" s="93">
        <v>21</v>
      </c>
      <c r="AO1586" s="93">
        <f t="shared" si="45"/>
        <v>0</v>
      </c>
      <c r="AP1586" s="93">
        <f t="shared" si="46"/>
        <v>0</v>
      </c>
      <c r="AQ1586" s="94" t="s">
        <v>148</v>
      </c>
      <c r="AV1586" s="93">
        <f t="shared" si="47"/>
        <v>0</v>
      </c>
      <c r="AW1586" s="93">
        <f t="shared" si="48"/>
        <v>0</v>
      </c>
      <c r="AX1586" s="93">
        <f t="shared" si="49"/>
        <v>0</v>
      </c>
      <c r="AY1586" s="94" t="s">
        <v>1716</v>
      </c>
      <c r="AZ1586" s="94" t="s">
        <v>1649</v>
      </c>
      <c r="BA1586" s="88" t="s">
        <v>67</v>
      </c>
      <c r="BC1586" s="93">
        <f t="shared" si="50"/>
        <v>0</v>
      </c>
      <c r="BD1586" s="93">
        <f t="shared" si="51"/>
        <v>0</v>
      </c>
      <c r="BE1586" s="93">
        <v>0</v>
      </c>
      <c r="BF1586" s="93">
        <f t="shared" si="52"/>
        <v>0</v>
      </c>
      <c r="BH1586" s="93">
        <f t="shared" si="53"/>
        <v>0</v>
      </c>
      <c r="BI1586" s="93">
        <f t="shared" si="54"/>
        <v>0</v>
      </c>
      <c r="BJ1586" s="93">
        <f t="shared" si="55"/>
        <v>0</v>
      </c>
      <c r="BK1586" s="93"/>
      <c r="BL1586" s="93"/>
      <c r="BW1586" s="93" t="str">
        <f t="shared" si="56"/>
        <v>21</v>
      </c>
      <c r="BX1586" s="2" t="s">
        <v>1743</v>
      </c>
    </row>
    <row r="1587" spans="1:76" s="81" customFormat="1" ht="25.5" x14ac:dyDescent="0.25">
      <c r="A1587" s="66" t="s">
        <v>1746</v>
      </c>
      <c r="B1587" s="72" t="s">
        <v>55</v>
      </c>
      <c r="C1587" s="72" t="s">
        <v>1745</v>
      </c>
      <c r="D1587" s="174" t="s">
        <v>1692</v>
      </c>
      <c r="E1587" s="174"/>
      <c r="F1587" s="72" t="s">
        <v>1671</v>
      </c>
      <c r="G1587" s="90">
        <v>24</v>
      </c>
      <c r="H1587" s="91"/>
      <c r="I1587" s="92" t="s">
        <v>63</v>
      </c>
      <c r="J1587" s="90">
        <f t="shared" si="29"/>
        <v>0</v>
      </c>
      <c r="K1587" s="90">
        <f t="shared" si="30"/>
        <v>0</v>
      </c>
      <c r="L1587" s="90">
        <f t="shared" si="31"/>
        <v>0</v>
      </c>
      <c r="M1587" s="90">
        <f t="shared" si="32"/>
        <v>0</v>
      </c>
      <c r="N1587" s="90">
        <v>0</v>
      </c>
      <c r="O1587" s="90">
        <f t="shared" si="33"/>
        <v>0</v>
      </c>
      <c r="P1587" s="92" t="s">
        <v>1647</v>
      </c>
      <c r="Z1587" s="93">
        <f t="shared" si="34"/>
        <v>0</v>
      </c>
      <c r="AB1587" s="93">
        <f t="shared" si="35"/>
        <v>0</v>
      </c>
      <c r="AC1587" s="93">
        <f t="shared" si="36"/>
        <v>0</v>
      </c>
      <c r="AD1587" s="93">
        <f t="shared" si="37"/>
        <v>0</v>
      </c>
      <c r="AE1587" s="93">
        <f t="shared" si="38"/>
        <v>0</v>
      </c>
      <c r="AF1587" s="93">
        <f t="shared" si="39"/>
        <v>0</v>
      </c>
      <c r="AG1587" s="93">
        <f t="shared" si="40"/>
        <v>0</v>
      </c>
      <c r="AH1587" s="93">
        <f t="shared" si="41"/>
        <v>0</v>
      </c>
      <c r="AI1587" s="88" t="s">
        <v>55</v>
      </c>
      <c r="AJ1587" s="93">
        <f t="shared" si="42"/>
        <v>0</v>
      </c>
      <c r="AK1587" s="93">
        <f t="shared" si="43"/>
        <v>0</v>
      </c>
      <c r="AL1587" s="93">
        <f t="shared" si="44"/>
        <v>0</v>
      </c>
      <c r="AN1587" s="93">
        <v>21</v>
      </c>
      <c r="AO1587" s="93">
        <f t="shared" si="45"/>
        <v>0</v>
      </c>
      <c r="AP1587" s="93">
        <f t="shared" si="46"/>
        <v>0</v>
      </c>
      <c r="AQ1587" s="94" t="s">
        <v>148</v>
      </c>
      <c r="AV1587" s="93">
        <f t="shared" si="47"/>
        <v>0</v>
      </c>
      <c r="AW1587" s="93">
        <f t="shared" si="48"/>
        <v>0</v>
      </c>
      <c r="AX1587" s="93">
        <f t="shared" si="49"/>
        <v>0</v>
      </c>
      <c r="AY1587" s="94" t="s">
        <v>1716</v>
      </c>
      <c r="AZ1587" s="94" t="s">
        <v>1649</v>
      </c>
      <c r="BA1587" s="88" t="s">
        <v>67</v>
      </c>
      <c r="BC1587" s="93">
        <f t="shared" si="50"/>
        <v>0</v>
      </c>
      <c r="BD1587" s="93">
        <f t="shared" si="51"/>
        <v>0</v>
      </c>
      <c r="BE1587" s="93">
        <v>0</v>
      </c>
      <c r="BF1587" s="93">
        <f t="shared" si="52"/>
        <v>0</v>
      </c>
      <c r="BH1587" s="93">
        <f t="shared" si="53"/>
        <v>0</v>
      </c>
      <c r="BI1587" s="93">
        <f t="shared" si="54"/>
        <v>0</v>
      </c>
      <c r="BJ1587" s="93">
        <f t="shared" si="55"/>
        <v>0</v>
      </c>
      <c r="BK1587" s="93"/>
      <c r="BL1587" s="93"/>
      <c r="BW1587" s="93" t="str">
        <f t="shared" si="56"/>
        <v>21</v>
      </c>
      <c r="BX1587" s="2" t="s">
        <v>1692</v>
      </c>
    </row>
    <row r="1588" spans="1:76" s="81" customFormat="1" ht="25.5" x14ac:dyDescent="0.25">
      <c r="A1588" s="66" t="s">
        <v>1748</v>
      </c>
      <c r="B1588" s="72" t="s">
        <v>55</v>
      </c>
      <c r="C1588" s="72" t="s">
        <v>1747</v>
      </c>
      <c r="D1588" s="174" t="s">
        <v>1692</v>
      </c>
      <c r="E1588" s="174"/>
      <c r="F1588" s="72" t="s">
        <v>1671</v>
      </c>
      <c r="G1588" s="90">
        <v>1</v>
      </c>
      <c r="H1588" s="91"/>
      <c r="I1588" s="92" t="s">
        <v>63</v>
      </c>
      <c r="J1588" s="90">
        <f t="shared" si="29"/>
        <v>0</v>
      </c>
      <c r="K1588" s="90">
        <f t="shared" si="30"/>
        <v>0</v>
      </c>
      <c r="L1588" s="90">
        <f t="shared" si="31"/>
        <v>0</v>
      </c>
      <c r="M1588" s="90">
        <f t="shared" si="32"/>
        <v>0</v>
      </c>
      <c r="N1588" s="90">
        <v>0</v>
      </c>
      <c r="O1588" s="90">
        <f t="shared" si="33"/>
        <v>0</v>
      </c>
      <c r="P1588" s="92" t="s">
        <v>1647</v>
      </c>
      <c r="Z1588" s="93">
        <f t="shared" si="34"/>
        <v>0</v>
      </c>
      <c r="AB1588" s="93">
        <f t="shared" si="35"/>
        <v>0</v>
      </c>
      <c r="AC1588" s="93">
        <f t="shared" si="36"/>
        <v>0</v>
      </c>
      <c r="AD1588" s="93">
        <f t="shared" si="37"/>
        <v>0</v>
      </c>
      <c r="AE1588" s="93">
        <f t="shared" si="38"/>
        <v>0</v>
      </c>
      <c r="AF1588" s="93">
        <f t="shared" si="39"/>
        <v>0</v>
      </c>
      <c r="AG1588" s="93">
        <f t="shared" si="40"/>
        <v>0</v>
      </c>
      <c r="AH1588" s="93">
        <f t="shared" si="41"/>
        <v>0</v>
      </c>
      <c r="AI1588" s="88" t="s">
        <v>55</v>
      </c>
      <c r="AJ1588" s="93">
        <f t="shared" si="42"/>
        <v>0</v>
      </c>
      <c r="AK1588" s="93">
        <f t="shared" si="43"/>
        <v>0</v>
      </c>
      <c r="AL1588" s="93">
        <f t="shared" si="44"/>
        <v>0</v>
      </c>
      <c r="AN1588" s="93">
        <v>21</v>
      </c>
      <c r="AO1588" s="93">
        <f t="shared" si="45"/>
        <v>0</v>
      </c>
      <c r="AP1588" s="93">
        <f t="shared" si="46"/>
        <v>0</v>
      </c>
      <c r="AQ1588" s="94" t="s">
        <v>148</v>
      </c>
      <c r="AV1588" s="93">
        <f t="shared" si="47"/>
        <v>0</v>
      </c>
      <c r="AW1588" s="93">
        <f t="shared" si="48"/>
        <v>0</v>
      </c>
      <c r="AX1588" s="93">
        <f t="shared" si="49"/>
        <v>0</v>
      </c>
      <c r="AY1588" s="94" t="s">
        <v>1716</v>
      </c>
      <c r="AZ1588" s="94" t="s">
        <v>1649</v>
      </c>
      <c r="BA1588" s="88" t="s">
        <v>67</v>
      </c>
      <c r="BC1588" s="93">
        <f t="shared" si="50"/>
        <v>0</v>
      </c>
      <c r="BD1588" s="93">
        <f t="shared" si="51"/>
        <v>0</v>
      </c>
      <c r="BE1588" s="93">
        <v>0</v>
      </c>
      <c r="BF1588" s="93">
        <f t="shared" si="52"/>
        <v>0</v>
      </c>
      <c r="BH1588" s="93">
        <f t="shared" si="53"/>
        <v>0</v>
      </c>
      <c r="BI1588" s="93">
        <f t="shared" si="54"/>
        <v>0</v>
      </c>
      <c r="BJ1588" s="93">
        <f t="shared" si="55"/>
        <v>0</v>
      </c>
      <c r="BK1588" s="93"/>
      <c r="BL1588" s="93"/>
      <c r="BW1588" s="93" t="str">
        <f t="shared" si="56"/>
        <v>21</v>
      </c>
      <c r="BX1588" s="2" t="s">
        <v>1692</v>
      </c>
    </row>
    <row r="1589" spans="1:76" s="81" customFormat="1" ht="25.5" x14ac:dyDescent="0.25">
      <c r="A1589" s="66" t="s">
        <v>1750</v>
      </c>
      <c r="B1589" s="72" t="s">
        <v>55</v>
      </c>
      <c r="C1589" s="72" t="s">
        <v>1749</v>
      </c>
      <c r="D1589" s="174" t="s">
        <v>1695</v>
      </c>
      <c r="E1589" s="174"/>
      <c r="F1589" s="72" t="s">
        <v>1671</v>
      </c>
      <c r="G1589" s="90">
        <v>1</v>
      </c>
      <c r="H1589" s="91"/>
      <c r="I1589" s="92" t="s">
        <v>63</v>
      </c>
      <c r="J1589" s="90">
        <f t="shared" si="29"/>
        <v>0</v>
      </c>
      <c r="K1589" s="90">
        <f t="shared" si="30"/>
        <v>0</v>
      </c>
      <c r="L1589" s="90">
        <f t="shared" si="31"/>
        <v>0</v>
      </c>
      <c r="M1589" s="90">
        <f t="shared" si="32"/>
        <v>0</v>
      </c>
      <c r="N1589" s="90">
        <v>0</v>
      </c>
      <c r="O1589" s="90">
        <f t="shared" si="33"/>
        <v>0</v>
      </c>
      <c r="P1589" s="92" t="s">
        <v>1647</v>
      </c>
      <c r="Z1589" s="93">
        <f t="shared" si="34"/>
        <v>0</v>
      </c>
      <c r="AB1589" s="93">
        <f t="shared" si="35"/>
        <v>0</v>
      </c>
      <c r="AC1589" s="93">
        <f t="shared" si="36"/>
        <v>0</v>
      </c>
      <c r="AD1589" s="93">
        <f t="shared" si="37"/>
        <v>0</v>
      </c>
      <c r="AE1589" s="93">
        <f t="shared" si="38"/>
        <v>0</v>
      </c>
      <c r="AF1589" s="93">
        <f t="shared" si="39"/>
        <v>0</v>
      </c>
      <c r="AG1589" s="93">
        <f t="shared" si="40"/>
        <v>0</v>
      </c>
      <c r="AH1589" s="93">
        <f t="shared" si="41"/>
        <v>0</v>
      </c>
      <c r="AI1589" s="88" t="s">
        <v>55</v>
      </c>
      <c r="AJ1589" s="93">
        <f t="shared" si="42"/>
        <v>0</v>
      </c>
      <c r="AK1589" s="93">
        <f t="shared" si="43"/>
        <v>0</v>
      </c>
      <c r="AL1589" s="93">
        <f t="shared" si="44"/>
        <v>0</v>
      </c>
      <c r="AN1589" s="93">
        <v>21</v>
      </c>
      <c r="AO1589" s="93">
        <f t="shared" si="45"/>
        <v>0</v>
      </c>
      <c r="AP1589" s="93">
        <f t="shared" si="46"/>
        <v>0</v>
      </c>
      <c r="AQ1589" s="94" t="s">
        <v>148</v>
      </c>
      <c r="AV1589" s="93">
        <f t="shared" si="47"/>
        <v>0</v>
      </c>
      <c r="AW1589" s="93">
        <f t="shared" si="48"/>
        <v>0</v>
      </c>
      <c r="AX1589" s="93">
        <f t="shared" si="49"/>
        <v>0</v>
      </c>
      <c r="AY1589" s="94" t="s">
        <v>1716</v>
      </c>
      <c r="AZ1589" s="94" t="s">
        <v>1649</v>
      </c>
      <c r="BA1589" s="88" t="s">
        <v>67</v>
      </c>
      <c r="BC1589" s="93">
        <f t="shared" si="50"/>
        <v>0</v>
      </c>
      <c r="BD1589" s="93">
        <f t="shared" si="51"/>
        <v>0</v>
      </c>
      <c r="BE1589" s="93">
        <v>0</v>
      </c>
      <c r="BF1589" s="93">
        <f t="shared" si="52"/>
        <v>0</v>
      </c>
      <c r="BH1589" s="93">
        <f t="shared" si="53"/>
        <v>0</v>
      </c>
      <c r="BI1589" s="93">
        <f t="shared" si="54"/>
        <v>0</v>
      </c>
      <c r="BJ1589" s="93">
        <f t="shared" si="55"/>
        <v>0</v>
      </c>
      <c r="BK1589" s="93"/>
      <c r="BL1589" s="93"/>
      <c r="BW1589" s="93" t="str">
        <f t="shared" si="56"/>
        <v>21</v>
      </c>
      <c r="BX1589" s="2" t="s">
        <v>1695</v>
      </c>
    </row>
    <row r="1590" spans="1:76" s="81" customFormat="1" ht="25.5" x14ac:dyDescent="0.25">
      <c r="A1590" s="66" t="s">
        <v>1753</v>
      </c>
      <c r="B1590" s="72" t="s">
        <v>55</v>
      </c>
      <c r="C1590" s="72" t="s">
        <v>1751</v>
      </c>
      <c r="D1590" s="174" t="s">
        <v>1752</v>
      </c>
      <c r="E1590" s="174"/>
      <c r="F1590" s="72" t="s">
        <v>203</v>
      </c>
      <c r="G1590" s="90">
        <v>11</v>
      </c>
      <c r="H1590" s="91"/>
      <c r="I1590" s="92" t="s">
        <v>63</v>
      </c>
      <c r="J1590" s="90">
        <f t="shared" si="29"/>
        <v>0</v>
      </c>
      <c r="K1590" s="90">
        <f t="shared" si="30"/>
        <v>0</v>
      </c>
      <c r="L1590" s="90">
        <f t="shared" si="31"/>
        <v>0</v>
      </c>
      <c r="M1590" s="90">
        <f t="shared" si="32"/>
        <v>0</v>
      </c>
      <c r="N1590" s="90">
        <v>0</v>
      </c>
      <c r="O1590" s="90">
        <f t="shared" si="33"/>
        <v>0</v>
      </c>
      <c r="P1590" s="92" t="s">
        <v>1647</v>
      </c>
      <c r="Z1590" s="93">
        <f t="shared" si="34"/>
        <v>0</v>
      </c>
      <c r="AB1590" s="93">
        <f t="shared" si="35"/>
        <v>0</v>
      </c>
      <c r="AC1590" s="93">
        <f t="shared" si="36"/>
        <v>0</v>
      </c>
      <c r="AD1590" s="93">
        <f t="shared" si="37"/>
        <v>0</v>
      </c>
      <c r="AE1590" s="93">
        <f t="shared" si="38"/>
        <v>0</v>
      </c>
      <c r="AF1590" s="93">
        <f t="shared" si="39"/>
        <v>0</v>
      </c>
      <c r="AG1590" s="93">
        <f t="shared" si="40"/>
        <v>0</v>
      </c>
      <c r="AH1590" s="93">
        <f t="shared" si="41"/>
        <v>0</v>
      </c>
      <c r="AI1590" s="88" t="s">
        <v>55</v>
      </c>
      <c r="AJ1590" s="93">
        <f t="shared" si="42"/>
        <v>0</v>
      </c>
      <c r="AK1590" s="93">
        <f t="shared" si="43"/>
        <v>0</v>
      </c>
      <c r="AL1590" s="93">
        <f t="shared" si="44"/>
        <v>0</v>
      </c>
      <c r="AN1590" s="93">
        <v>21</v>
      </c>
      <c r="AO1590" s="93">
        <f t="shared" si="45"/>
        <v>0</v>
      </c>
      <c r="AP1590" s="93">
        <f t="shared" si="46"/>
        <v>0</v>
      </c>
      <c r="AQ1590" s="94" t="s">
        <v>148</v>
      </c>
      <c r="AV1590" s="93">
        <f t="shared" si="47"/>
        <v>0</v>
      </c>
      <c r="AW1590" s="93">
        <f t="shared" si="48"/>
        <v>0</v>
      </c>
      <c r="AX1590" s="93">
        <f t="shared" si="49"/>
        <v>0</v>
      </c>
      <c r="AY1590" s="94" t="s">
        <v>1716</v>
      </c>
      <c r="AZ1590" s="94" t="s">
        <v>1649</v>
      </c>
      <c r="BA1590" s="88" t="s">
        <v>67</v>
      </c>
      <c r="BC1590" s="93">
        <f t="shared" si="50"/>
        <v>0</v>
      </c>
      <c r="BD1590" s="93">
        <f t="shared" si="51"/>
        <v>0</v>
      </c>
      <c r="BE1590" s="93">
        <v>0</v>
      </c>
      <c r="BF1590" s="93">
        <f t="shared" si="52"/>
        <v>0</v>
      </c>
      <c r="BH1590" s="93">
        <f t="shared" si="53"/>
        <v>0</v>
      </c>
      <c r="BI1590" s="93">
        <f t="shared" si="54"/>
        <v>0</v>
      </c>
      <c r="BJ1590" s="93">
        <f t="shared" si="55"/>
        <v>0</v>
      </c>
      <c r="BK1590" s="93"/>
      <c r="BL1590" s="93"/>
      <c r="BW1590" s="93" t="str">
        <f t="shared" si="56"/>
        <v>21</v>
      </c>
      <c r="BX1590" s="2" t="s">
        <v>1752</v>
      </c>
    </row>
    <row r="1591" spans="1:76" s="81" customFormat="1" ht="25.5" x14ac:dyDescent="0.25">
      <c r="A1591" s="66" t="s">
        <v>1757</v>
      </c>
      <c r="B1591" s="72" t="s">
        <v>55</v>
      </c>
      <c r="C1591" s="72" t="s">
        <v>1754</v>
      </c>
      <c r="D1591" s="174" t="s">
        <v>1710</v>
      </c>
      <c r="E1591" s="174"/>
      <c r="F1591" s="72" t="s">
        <v>1332</v>
      </c>
      <c r="G1591" s="90">
        <v>1</v>
      </c>
      <c r="H1591" s="91"/>
      <c r="I1591" s="92" t="s">
        <v>63</v>
      </c>
      <c r="J1591" s="90">
        <f t="shared" si="29"/>
        <v>0</v>
      </c>
      <c r="K1591" s="90">
        <f t="shared" si="30"/>
        <v>0</v>
      </c>
      <c r="L1591" s="90">
        <f t="shared" si="31"/>
        <v>0</v>
      </c>
      <c r="M1591" s="90">
        <f t="shared" si="32"/>
        <v>0</v>
      </c>
      <c r="N1591" s="90">
        <v>0</v>
      </c>
      <c r="O1591" s="90">
        <f t="shared" si="33"/>
        <v>0</v>
      </c>
      <c r="P1591" s="92" t="s">
        <v>1647</v>
      </c>
      <c r="Z1591" s="93">
        <f t="shared" si="34"/>
        <v>0</v>
      </c>
      <c r="AB1591" s="93">
        <f t="shared" si="35"/>
        <v>0</v>
      </c>
      <c r="AC1591" s="93">
        <f t="shared" si="36"/>
        <v>0</v>
      </c>
      <c r="AD1591" s="93">
        <f t="shared" si="37"/>
        <v>0</v>
      </c>
      <c r="AE1591" s="93">
        <f t="shared" si="38"/>
        <v>0</v>
      </c>
      <c r="AF1591" s="93">
        <f t="shared" si="39"/>
        <v>0</v>
      </c>
      <c r="AG1591" s="93">
        <f t="shared" si="40"/>
        <v>0</v>
      </c>
      <c r="AH1591" s="93">
        <f t="shared" si="41"/>
        <v>0</v>
      </c>
      <c r="AI1591" s="88" t="s">
        <v>55</v>
      </c>
      <c r="AJ1591" s="93">
        <f t="shared" si="42"/>
        <v>0</v>
      </c>
      <c r="AK1591" s="93">
        <f t="shared" si="43"/>
        <v>0</v>
      </c>
      <c r="AL1591" s="93">
        <f t="shared" si="44"/>
        <v>0</v>
      </c>
      <c r="AN1591" s="93">
        <v>21</v>
      </c>
      <c r="AO1591" s="93">
        <f t="shared" si="45"/>
        <v>0</v>
      </c>
      <c r="AP1591" s="93">
        <f t="shared" si="46"/>
        <v>0</v>
      </c>
      <c r="AQ1591" s="94" t="s">
        <v>148</v>
      </c>
      <c r="AV1591" s="93">
        <f t="shared" si="47"/>
        <v>0</v>
      </c>
      <c r="AW1591" s="93">
        <f t="shared" si="48"/>
        <v>0</v>
      </c>
      <c r="AX1591" s="93">
        <f t="shared" si="49"/>
        <v>0</v>
      </c>
      <c r="AY1591" s="94" t="s">
        <v>1716</v>
      </c>
      <c r="AZ1591" s="94" t="s">
        <v>1649</v>
      </c>
      <c r="BA1591" s="88" t="s">
        <v>67</v>
      </c>
      <c r="BC1591" s="93">
        <f t="shared" si="50"/>
        <v>0</v>
      </c>
      <c r="BD1591" s="93">
        <f t="shared" si="51"/>
        <v>0</v>
      </c>
      <c r="BE1591" s="93">
        <v>0</v>
      </c>
      <c r="BF1591" s="93">
        <f t="shared" si="52"/>
        <v>0</v>
      </c>
      <c r="BH1591" s="93">
        <f t="shared" si="53"/>
        <v>0</v>
      </c>
      <c r="BI1591" s="93">
        <f t="shared" si="54"/>
        <v>0</v>
      </c>
      <c r="BJ1591" s="93">
        <f t="shared" si="55"/>
        <v>0</v>
      </c>
      <c r="BK1591" s="93"/>
      <c r="BL1591" s="93"/>
      <c r="BW1591" s="93" t="str">
        <f t="shared" si="56"/>
        <v>21</v>
      </c>
      <c r="BX1591" s="2" t="s">
        <v>1710</v>
      </c>
    </row>
    <row r="1592" spans="1:76" s="81" customFormat="1" x14ac:dyDescent="0.25">
      <c r="A1592" s="109" t="s">
        <v>54</v>
      </c>
      <c r="B1592" s="74" t="s">
        <v>55</v>
      </c>
      <c r="C1592" s="74" t="s">
        <v>1755</v>
      </c>
      <c r="D1592" s="180" t="s">
        <v>1756</v>
      </c>
      <c r="E1592" s="180"/>
      <c r="F1592" s="85" t="s">
        <v>4</v>
      </c>
      <c r="G1592" s="85" t="s">
        <v>4</v>
      </c>
      <c r="H1592" s="98"/>
      <c r="I1592" s="85" t="s">
        <v>4</v>
      </c>
      <c r="J1592" s="86">
        <f>SUM(J1593:J1603)</f>
        <v>0</v>
      </c>
      <c r="K1592" s="86">
        <f>SUM(K1593:K1603)</f>
        <v>0</v>
      </c>
      <c r="L1592" s="86">
        <f>SUM(L1593:L1603)</f>
        <v>0</v>
      </c>
      <c r="M1592" s="86">
        <f>SUM(M1593:M1603)</f>
        <v>0</v>
      </c>
      <c r="N1592" s="87" t="s">
        <v>54</v>
      </c>
      <c r="O1592" s="86">
        <f>SUM(O1593:O1603)</f>
        <v>0</v>
      </c>
      <c r="P1592" s="87" t="s">
        <v>54</v>
      </c>
      <c r="AI1592" s="88" t="s">
        <v>55</v>
      </c>
      <c r="AS1592" s="89">
        <f>SUM(AJ1593:AJ1603)</f>
        <v>0</v>
      </c>
      <c r="AT1592" s="89">
        <f>SUM(AK1593:AK1603)</f>
        <v>0</v>
      </c>
      <c r="AU1592" s="89">
        <f>SUM(AL1593:AL1603)</f>
        <v>0</v>
      </c>
    </row>
    <row r="1593" spans="1:76" s="81" customFormat="1" ht="25.5" x14ac:dyDescent="0.25">
      <c r="A1593" s="66" t="s">
        <v>1761</v>
      </c>
      <c r="B1593" s="72" t="s">
        <v>55</v>
      </c>
      <c r="C1593" s="72" t="s">
        <v>1758</v>
      </c>
      <c r="D1593" s="174" t="s">
        <v>1759</v>
      </c>
      <c r="E1593" s="174"/>
      <c r="F1593" s="72" t="s">
        <v>203</v>
      </c>
      <c r="G1593" s="90">
        <v>1</v>
      </c>
      <c r="H1593" s="91"/>
      <c r="I1593" s="92" t="s">
        <v>63</v>
      </c>
      <c r="J1593" s="90">
        <f t="shared" ref="J1593:J1603" si="57">G1593*AO1593</f>
        <v>0</v>
      </c>
      <c r="K1593" s="90">
        <f t="shared" ref="K1593:K1603" si="58">G1593*AP1593</f>
        <v>0</v>
      </c>
      <c r="L1593" s="90">
        <f t="shared" ref="L1593:L1603" si="59">G1593*H1593</f>
        <v>0</v>
      </c>
      <c r="M1593" s="90">
        <f t="shared" ref="M1593:M1603" si="60">L1593*(1+BW1593/100)</f>
        <v>0</v>
      </c>
      <c r="N1593" s="90">
        <v>0</v>
      </c>
      <c r="O1593" s="90">
        <f t="shared" ref="O1593:O1603" si="61">G1593*N1593</f>
        <v>0</v>
      </c>
      <c r="P1593" s="92" t="s">
        <v>1647</v>
      </c>
      <c r="Z1593" s="93">
        <f t="shared" ref="Z1593:Z1603" si="62">IF(AQ1593="5",BJ1593,0)</f>
        <v>0</v>
      </c>
      <c r="AB1593" s="93">
        <f t="shared" ref="AB1593:AB1603" si="63">IF(AQ1593="1",BH1593,0)</f>
        <v>0</v>
      </c>
      <c r="AC1593" s="93">
        <f t="shared" ref="AC1593:AC1603" si="64">IF(AQ1593="1",BI1593,0)</f>
        <v>0</v>
      </c>
      <c r="AD1593" s="93">
        <f t="shared" ref="AD1593:AD1603" si="65">IF(AQ1593="7",BH1593,0)</f>
        <v>0</v>
      </c>
      <c r="AE1593" s="93">
        <f t="shared" ref="AE1593:AE1603" si="66">IF(AQ1593="7",BI1593,0)</f>
        <v>0</v>
      </c>
      <c r="AF1593" s="93">
        <f t="shared" ref="AF1593:AF1603" si="67">IF(AQ1593="2",BH1593,0)</f>
        <v>0</v>
      </c>
      <c r="AG1593" s="93">
        <f t="shared" ref="AG1593:AG1603" si="68">IF(AQ1593="2",BI1593,0)</f>
        <v>0</v>
      </c>
      <c r="AH1593" s="93">
        <f t="shared" ref="AH1593:AH1603" si="69">IF(AQ1593="0",BJ1593,0)</f>
        <v>0</v>
      </c>
      <c r="AI1593" s="88" t="s">
        <v>55</v>
      </c>
      <c r="AJ1593" s="93">
        <f t="shared" ref="AJ1593:AJ1603" si="70">IF(AN1593=0,L1593,0)</f>
        <v>0</v>
      </c>
      <c r="AK1593" s="93">
        <f t="shared" ref="AK1593:AK1603" si="71">IF(AN1593=12,L1593,0)</f>
        <v>0</v>
      </c>
      <c r="AL1593" s="93">
        <f t="shared" ref="AL1593:AL1603" si="72">IF(AN1593=21,L1593,0)</f>
        <v>0</v>
      </c>
      <c r="AN1593" s="93">
        <v>21</v>
      </c>
      <c r="AO1593" s="93">
        <f t="shared" ref="AO1593:AO1603" si="73">H1593*0</f>
        <v>0</v>
      </c>
      <c r="AP1593" s="93">
        <f t="shared" ref="AP1593:AP1603" si="74">H1593*(1-0)</f>
        <v>0</v>
      </c>
      <c r="AQ1593" s="94" t="s">
        <v>148</v>
      </c>
      <c r="AV1593" s="93">
        <f t="shared" ref="AV1593:AV1603" si="75">AW1593+AX1593</f>
        <v>0</v>
      </c>
      <c r="AW1593" s="93">
        <f t="shared" ref="AW1593:AW1603" si="76">G1593*AO1593</f>
        <v>0</v>
      </c>
      <c r="AX1593" s="93">
        <f t="shared" ref="AX1593:AX1603" si="77">G1593*AP1593</f>
        <v>0</v>
      </c>
      <c r="AY1593" s="94" t="s">
        <v>1760</v>
      </c>
      <c r="AZ1593" s="94" t="s">
        <v>1649</v>
      </c>
      <c r="BA1593" s="88" t="s">
        <v>67</v>
      </c>
      <c r="BC1593" s="93">
        <f t="shared" ref="BC1593:BC1603" si="78">AW1593+AX1593</f>
        <v>0</v>
      </c>
      <c r="BD1593" s="93">
        <f t="shared" ref="BD1593:BD1603" si="79">H1593/(100-BE1593)*100</f>
        <v>0</v>
      </c>
      <c r="BE1593" s="93">
        <v>0</v>
      </c>
      <c r="BF1593" s="93">
        <f t="shared" ref="BF1593:BF1603" si="80">O1593</f>
        <v>0</v>
      </c>
      <c r="BH1593" s="93">
        <f t="shared" ref="BH1593:BH1603" si="81">G1593*AO1593</f>
        <v>0</v>
      </c>
      <c r="BI1593" s="93">
        <f t="shared" ref="BI1593:BI1603" si="82">G1593*AP1593</f>
        <v>0</v>
      </c>
      <c r="BJ1593" s="93">
        <f t="shared" ref="BJ1593:BJ1603" si="83">G1593*H1593</f>
        <v>0</v>
      </c>
      <c r="BK1593" s="93"/>
      <c r="BL1593" s="93"/>
      <c r="BW1593" s="93" t="str">
        <f t="shared" ref="BW1593:BW1603" si="84">I1593</f>
        <v>21</v>
      </c>
      <c r="BX1593" s="2" t="s">
        <v>1759</v>
      </c>
    </row>
    <row r="1594" spans="1:76" s="81" customFormat="1" ht="25.5" x14ac:dyDescent="0.25">
      <c r="A1594" s="66" t="s">
        <v>1763</v>
      </c>
      <c r="B1594" s="72" t="s">
        <v>55</v>
      </c>
      <c r="C1594" s="72" t="s">
        <v>1762</v>
      </c>
      <c r="D1594" s="174" t="s">
        <v>1727</v>
      </c>
      <c r="E1594" s="174"/>
      <c r="F1594" s="72" t="s">
        <v>203</v>
      </c>
      <c r="G1594" s="90">
        <v>4</v>
      </c>
      <c r="H1594" s="91"/>
      <c r="I1594" s="92" t="s">
        <v>63</v>
      </c>
      <c r="J1594" s="90">
        <f t="shared" si="57"/>
        <v>0</v>
      </c>
      <c r="K1594" s="90">
        <f t="shared" si="58"/>
        <v>0</v>
      </c>
      <c r="L1594" s="90">
        <f t="shared" si="59"/>
        <v>0</v>
      </c>
      <c r="M1594" s="90">
        <f t="shared" si="60"/>
        <v>0</v>
      </c>
      <c r="N1594" s="90">
        <v>0</v>
      </c>
      <c r="O1594" s="90">
        <f t="shared" si="61"/>
        <v>0</v>
      </c>
      <c r="P1594" s="92" t="s">
        <v>1647</v>
      </c>
      <c r="Z1594" s="93">
        <f t="shared" si="62"/>
        <v>0</v>
      </c>
      <c r="AB1594" s="93">
        <f t="shared" si="63"/>
        <v>0</v>
      </c>
      <c r="AC1594" s="93">
        <f t="shared" si="64"/>
        <v>0</v>
      </c>
      <c r="AD1594" s="93">
        <f t="shared" si="65"/>
        <v>0</v>
      </c>
      <c r="AE1594" s="93">
        <f t="shared" si="66"/>
        <v>0</v>
      </c>
      <c r="AF1594" s="93">
        <f t="shared" si="67"/>
        <v>0</v>
      </c>
      <c r="AG1594" s="93">
        <f t="shared" si="68"/>
        <v>0</v>
      </c>
      <c r="AH1594" s="93">
        <f t="shared" si="69"/>
        <v>0</v>
      </c>
      <c r="AI1594" s="88" t="s">
        <v>55</v>
      </c>
      <c r="AJ1594" s="93">
        <f t="shared" si="70"/>
        <v>0</v>
      </c>
      <c r="AK1594" s="93">
        <f t="shared" si="71"/>
        <v>0</v>
      </c>
      <c r="AL1594" s="93">
        <f t="shared" si="72"/>
        <v>0</v>
      </c>
      <c r="AN1594" s="93">
        <v>21</v>
      </c>
      <c r="AO1594" s="93">
        <f t="shared" si="73"/>
        <v>0</v>
      </c>
      <c r="AP1594" s="93">
        <f t="shared" si="74"/>
        <v>0</v>
      </c>
      <c r="AQ1594" s="94" t="s">
        <v>148</v>
      </c>
      <c r="AV1594" s="93">
        <f t="shared" si="75"/>
        <v>0</v>
      </c>
      <c r="AW1594" s="93">
        <f t="shared" si="76"/>
        <v>0</v>
      </c>
      <c r="AX1594" s="93">
        <f t="shared" si="77"/>
        <v>0</v>
      </c>
      <c r="AY1594" s="94" t="s">
        <v>1760</v>
      </c>
      <c r="AZ1594" s="94" t="s">
        <v>1649</v>
      </c>
      <c r="BA1594" s="88" t="s">
        <v>67</v>
      </c>
      <c r="BC1594" s="93">
        <f t="shared" si="78"/>
        <v>0</v>
      </c>
      <c r="BD1594" s="93">
        <f t="shared" si="79"/>
        <v>0</v>
      </c>
      <c r="BE1594" s="93">
        <v>0</v>
      </c>
      <c r="BF1594" s="93">
        <f t="shared" si="80"/>
        <v>0</v>
      </c>
      <c r="BH1594" s="93">
        <f t="shared" si="81"/>
        <v>0</v>
      </c>
      <c r="BI1594" s="93">
        <f t="shared" si="82"/>
        <v>0</v>
      </c>
      <c r="BJ1594" s="93">
        <f t="shared" si="83"/>
        <v>0</v>
      </c>
      <c r="BK1594" s="93"/>
      <c r="BL1594" s="93"/>
      <c r="BW1594" s="93" t="str">
        <f t="shared" si="84"/>
        <v>21</v>
      </c>
      <c r="BX1594" s="2" t="s">
        <v>1727</v>
      </c>
    </row>
    <row r="1595" spans="1:76" s="81" customFormat="1" ht="25.5" x14ac:dyDescent="0.25">
      <c r="A1595" s="66" t="s">
        <v>1766</v>
      </c>
      <c r="B1595" s="72" t="s">
        <v>55</v>
      </c>
      <c r="C1595" s="72" t="s">
        <v>1764</v>
      </c>
      <c r="D1595" s="174" t="s">
        <v>1765</v>
      </c>
      <c r="E1595" s="174"/>
      <c r="F1595" s="72" t="s">
        <v>203</v>
      </c>
      <c r="G1595" s="90">
        <v>1</v>
      </c>
      <c r="H1595" s="91"/>
      <c r="I1595" s="92" t="s">
        <v>63</v>
      </c>
      <c r="J1595" s="90">
        <f t="shared" si="57"/>
        <v>0</v>
      </c>
      <c r="K1595" s="90">
        <f t="shared" si="58"/>
        <v>0</v>
      </c>
      <c r="L1595" s="90">
        <f t="shared" si="59"/>
        <v>0</v>
      </c>
      <c r="M1595" s="90">
        <f t="shared" si="60"/>
        <v>0</v>
      </c>
      <c r="N1595" s="90">
        <v>0</v>
      </c>
      <c r="O1595" s="90">
        <f t="shared" si="61"/>
        <v>0</v>
      </c>
      <c r="P1595" s="92" t="s">
        <v>1647</v>
      </c>
      <c r="Z1595" s="93">
        <f t="shared" si="62"/>
        <v>0</v>
      </c>
      <c r="AB1595" s="93">
        <f t="shared" si="63"/>
        <v>0</v>
      </c>
      <c r="AC1595" s="93">
        <f t="shared" si="64"/>
        <v>0</v>
      </c>
      <c r="AD1595" s="93">
        <f t="shared" si="65"/>
        <v>0</v>
      </c>
      <c r="AE1595" s="93">
        <f t="shared" si="66"/>
        <v>0</v>
      </c>
      <c r="AF1595" s="93">
        <f t="shared" si="67"/>
        <v>0</v>
      </c>
      <c r="AG1595" s="93">
        <f t="shared" si="68"/>
        <v>0</v>
      </c>
      <c r="AH1595" s="93">
        <f t="shared" si="69"/>
        <v>0</v>
      </c>
      <c r="AI1595" s="88" t="s">
        <v>55</v>
      </c>
      <c r="AJ1595" s="93">
        <f t="shared" si="70"/>
        <v>0</v>
      </c>
      <c r="AK1595" s="93">
        <f t="shared" si="71"/>
        <v>0</v>
      </c>
      <c r="AL1595" s="93">
        <f t="shared" si="72"/>
        <v>0</v>
      </c>
      <c r="AN1595" s="93">
        <v>21</v>
      </c>
      <c r="AO1595" s="93">
        <f t="shared" si="73"/>
        <v>0</v>
      </c>
      <c r="AP1595" s="93">
        <f t="shared" si="74"/>
        <v>0</v>
      </c>
      <c r="AQ1595" s="94" t="s">
        <v>148</v>
      </c>
      <c r="AV1595" s="93">
        <f t="shared" si="75"/>
        <v>0</v>
      </c>
      <c r="AW1595" s="93">
        <f t="shared" si="76"/>
        <v>0</v>
      </c>
      <c r="AX1595" s="93">
        <f t="shared" si="77"/>
        <v>0</v>
      </c>
      <c r="AY1595" s="94" t="s">
        <v>1760</v>
      </c>
      <c r="AZ1595" s="94" t="s">
        <v>1649</v>
      </c>
      <c r="BA1595" s="88" t="s">
        <v>67</v>
      </c>
      <c r="BC1595" s="93">
        <f t="shared" si="78"/>
        <v>0</v>
      </c>
      <c r="BD1595" s="93">
        <f t="shared" si="79"/>
        <v>0</v>
      </c>
      <c r="BE1595" s="93">
        <v>0</v>
      </c>
      <c r="BF1595" s="93">
        <f t="shared" si="80"/>
        <v>0</v>
      </c>
      <c r="BH1595" s="93">
        <f t="shared" si="81"/>
        <v>0</v>
      </c>
      <c r="BI1595" s="93">
        <f t="shared" si="82"/>
        <v>0</v>
      </c>
      <c r="BJ1595" s="93">
        <f t="shared" si="83"/>
        <v>0</v>
      </c>
      <c r="BK1595" s="93"/>
      <c r="BL1595" s="93"/>
      <c r="BW1595" s="93" t="str">
        <f t="shared" si="84"/>
        <v>21</v>
      </c>
      <c r="BX1595" s="2" t="s">
        <v>1765</v>
      </c>
    </row>
    <row r="1596" spans="1:76" s="81" customFormat="1" ht="25.5" x14ac:dyDescent="0.25">
      <c r="A1596" s="66" t="s">
        <v>1769</v>
      </c>
      <c r="B1596" s="72" t="s">
        <v>55</v>
      </c>
      <c r="C1596" s="72" t="s">
        <v>1767</v>
      </c>
      <c r="D1596" s="174" t="s">
        <v>1768</v>
      </c>
      <c r="E1596" s="174"/>
      <c r="F1596" s="72" t="s">
        <v>203</v>
      </c>
      <c r="G1596" s="90">
        <v>1</v>
      </c>
      <c r="H1596" s="91"/>
      <c r="I1596" s="92" t="s">
        <v>63</v>
      </c>
      <c r="J1596" s="90">
        <f t="shared" si="57"/>
        <v>0</v>
      </c>
      <c r="K1596" s="90">
        <f t="shared" si="58"/>
        <v>0</v>
      </c>
      <c r="L1596" s="90">
        <f t="shared" si="59"/>
        <v>0</v>
      </c>
      <c r="M1596" s="90">
        <f t="shared" si="60"/>
        <v>0</v>
      </c>
      <c r="N1596" s="90">
        <v>0</v>
      </c>
      <c r="O1596" s="90">
        <f t="shared" si="61"/>
        <v>0</v>
      </c>
      <c r="P1596" s="92" t="s">
        <v>1647</v>
      </c>
      <c r="Z1596" s="93">
        <f t="shared" si="62"/>
        <v>0</v>
      </c>
      <c r="AB1596" s="93">
        <f t="shared" si="63"/>
        <v>0</v>
      </c>
      <c r="AC1596" s="93">
        <f t="shared" si="64"/>
        <v>0</v>
      </c>
      <c r="AD1596" s="93">
        <f t="shared" si="65"/>
        <v>0</v>
      </c>
      <c r="AE1596" s="93">
        <f t="shared" si="66"/>
        <v>0</v>
      </c>
      <c r="AF1596" s="93">
        <f t="shared" si="67"/>
        <v>0</v>
      </c>
      <c r="AG1596" s="93">
        <f t="shared" si="68"/>
        <v>0</v>
      </c>
      <c r="AH1596" s="93">
        <f t="shared" si="69"/>
        <v>0</v>
      </c>
      <c r="AI1596" s="88" t="s">
        <v>55</v>
      </c>
      <c r="AJ1596" s="93">
        <f t="shared" si="70"/>
        <v>0</v>
      </c>
      <c r="AK1596" s="93">
        <f t="shared" si="71"/>
        <v>0</v>
      </c>
      <c r="AL1596" s="93">
        <f t="shared" si="72"/>
        <v>0</v>
      </c>
      <c r="AN1596" s="93">
        <v>21</v>
      </c>
      <c r="AO1596" s="93">
        <f t="shared" si="73"/>
        <v>0</v>
      </c>
      <c r="AP1596" s="93">
        <f t="shared" si="74"/>
        <v>0</v>
      </c>
      <c r="AQ1596" s="94" t="s">
        <v>148</v>
      </c>
      <c r="AV1596" s="93">
        <f t="shared" si="75"/>
        <v>0</v>
      </c>
      <c r="AW1596" s="93">
        <f t="shared" si="76"/>
        <v>0</v>
      </c>
      <c r="AX1596" s="93">
        <f t="shared" si="77"/>
        <v>0</v>
      </c>
      <c r="AY1596" s="94" t="s">
        <v>1760</v>
      </c>
      <c r="AZ1596" s="94" t="s">
        <v>1649</v>
      </c>
      <c r="BA1596" s="88" t="s">
        <v>67</v>
      </c>
      <c r="BC1596" s="93">
        <f t="shared" si="78"/>
        <v>0</v>
      </c>
      <c r="BD1596" s="93">
        <f t="shared" si="79"/>
        <v>0</v>
      </c>
      <c r="BE1596" s="93">
        <v>0</v>
      </c>
      <c r="BF1596" s="93">
        <f t="shared" si="80"/>
        <v>0</v>
      </c>
      <c r="BH1596" s="93">
        <f t="shared" si="81"/>
        <v>0</v>
      </c>
      <c r="BI1596" s="93">
        <f t="shared" si="82"/>
        <v>0</v>
      </c>
      <c r="BJ1596" s="93">
        <f t="shared" si="83"/>
        <v>0</v>
      </c>
      <c r="BK1596" s="93"/>
      <c r="BL1596" s="93"/>
      <c r="BW1596" s="93" t="str">
        <f t="shared" si="84"/>
        <v>21</v>
      </c>
      <c r="BX1596" s="2" t="s">
        <v>1768</v>
      </c>
    </row>
    <row r="1597" spans="1:76" s="81" customFormat="1" ht="25.5" x14ac:dyDescent="0.25">
      <c r="A1597" s="66" t="s">
        <v>1772</v>
      </c>
      <c r="B1597" s="72" t="s">
        <v>55</v>
      </c>
      <c r="C1597" s="72" t="s">
        <v>1770</v>
      </c>
      <c r="D1597" s="174" t="s">
        <v>1771</v>
      </c>
      <c r="E1597" s="174"/>
      <c r="F1597" s="72" t="s">
        <v>203</v>
      </c>
      <c r="G1597" s="90">
        <v>5</v>
      </c>
      <c r="H1597" s="91"/>
      <c r="I1597" s="92" t="s">
        <v>63</v>
      </c>
      <c r="J1597" s="90">
        <f t="shared" si="57"/>
        <v>0</v>
      </c>
      <c r="K1597" s="90">
        <f t="shared" si="58"/>
        <v>0</v>
      </c>
      <c r="L1597" s="90">
        <f t="shared" si="59"/>
        <v>0</v>
      </c>
      <c r="M1597" s="90">
        <f t="shared" si="60"/>
        <v>0</v>
      </c>
      <c r="N1597" s="90">
        <v>0</v>
      </c>
      <c r="O1597" s="90">
        <f t="shared" si="61"/>
        <v>0</v>
      </c>
      <c r="P1597" s="92" t="s">
        <v>1647</v>
      </c>
      <c r="Z1597" s="93">
        <f t="shared" si="62"/>
        <v>0</v>
      </c>
      <c r="AB1597" s="93">
        <f t="shared" si="63"/>
        <v>0</v>
      </c>
      <c r="AC1597" s="93">
        <f t="shared" si="64"/>
        <v>0</v>
      </c>
      <c r="AD1597" s="93">
        <f t="shared" si="65"/>
        <v>0</v>
      </c>
      <c r="AE1597" s="93">
        <f t="shared" si="66"/>
        <v>0</v>
      </c>
      <c r="AF1597" s="93">
        <f t="shared" si="67"/>
        <v>0</v>
      </c>
      <c r="AG1597" s="93">
        <f t="shared" si="68"/>
        <v>0</v>
      </c>
      <c r="AH1597" s="93">
        <f t="shared" si="69"/>
        <v>0</v>
      </c>
      <c r="AI1597" s="88" t="s">
        <v>55</v>
      </c>
      <c r="AJ1597" s="93">
        <f t="shared" si="70"/>
        <v>0</v>
      </c>
      <c r="AK1597" s="93">
        <f t="shared" si="71"/>
        <v>0</v>
      </c>
      <c r="AL1597" s="93">
        <f t="shared" si="72"/>
        <v>0</v>
      </c>
      <c r="AN1597" s="93">
        <v>21</v>
      </c>
      <c r="AO1597" s="93">
        <f t="shared" si="73"/>
        <v>0</v>
      </c>
      <c r="AP1597" s="93">
        <f t="shared" si="74"/>
        <v>0</v>
      </c>
      <c r="AQ1597" s="94" t="s">
        <v>148</v>
      </c>
      <c r="AV1597" s="93">
        <f t="shared" si="75"/>
        <v>0</v>
      </c>
      <c r="AW1597" s="93">
        <f t="shared" si="76"/>
        <v>0</v>
      </c>
      <c r="AX1597" s="93">
        <f t="shared" si="77"/>
        <v>0</v>
      </c>
      <c r="AY1597" s="94" t="s">
        <v>1760</v>
      </c>
      <c r="AZ1597" s="94" t="s">
        <v>1649</v>
      </c>
      <c r="BA1597" s="88" t="s">
        <v>67</v>
      </c>
      <c r="BC1597" s="93">
        <f t="shared" si="78"/>
        <v>0</v>
      </c>
      <c r="BD1597" s="93">
        <f t="shared" si="79"/>
        <v>0</v>
      </c>
      <c r="BE1597" s="93">
        <v>0</v>
      </c>
      <c r="BF1597" s="93">
        <f t="shared" si="80"/>
        <v>0</v>
      </c>
      <c r="BH1597" s="93">
        <f t="shared" si="81"/>
        <v>0</v>
      </c>
      <c r="BI1597" s="93">
        <f t="shared" si="82"/>
        <v>0</v>
      </c>
      <c r="BJ1597" s="93">
        <f t="shared" si="83"/>
        <v>0</v>
      </c>
      <c r="BK1597" s="93"/>
      <c r="BL1597" s="93"/>
      <c r="BW1597" s="93" t="str">
        <f t="shared" si="84"/>
        <v>21</v>
      </c>
      <c r="BX1597" s="2" t="s">
        <v>1771</v>
      </c>
    </row>
    <row r="1598" spans="1:76" s="81" customFormat="1" ht="25.5" x14ac:dyDescent="0.25">
      <c r="A1598" s="66" t="s">
        <v>1774</v>
      </c>
      <c r="B1598" s="72" t="s">
        <v>55</v>
      </c>
      <c r="C1598" s="72" t="s">
        <v>1773</v>
      </c>
      <c r="D1598" s="174" t="s">
        <v>1735</v>
      </c>
      <c r="E1598" s="174"/>
      <c r="F1598" s="72" t="s">
        <v>1671</v>
      </c>
      <c r="G1598" s="90">
        <v>8</v>
      </c>
      <c r="H1598" s="91"/>
      <c r="I1598" s="92" t="s">
        <v>63</v>
      </c>
      <c r="J1598" s="90">
        <f t="shared" si="57"/>
        <v>0</v>
      </c>
      <c r="K1598" s="90">
        <f t="shared" si="58"/>
        <v>0</v>
      </c>
      <c r="L1598" s="90">
        <f t="shared" si="59"/>
        <v>0</v>
      </c>
      <c r="M1598" s="90">
        <f t="shared" si="60"/>
        <v>0</v>
      </c>
      <c r="N1598" s="90">
        <v>0</v>
      </c>
      <c r="O1598" s="90">
        <f t="shared" si="61"/>
        <v>0</v>
      </c>
      <c r="P1598" s="92" t="s">
        <v>1647</v>
      </c>
      <c r="Z1598" s="93">
        <f t="shared" si="62"/>
        <v>0</v>
      </c>
      <c r="AB1598" s="93">
        <f t="shared" si="63"/>
        <v>0</v>
      </c>
      <c r="AC1598" s="93">
        <f t="shared" si="64"/>
        <v>0</v>
      </c>
      <c r="AD1598" s="93">
        <f t="shared" si="65"/>
        <v>0</v>
      </c>
      <c r="AE1598" s="93">
        <f t="shared" si="66"/>
        <v>0</v>
      </c>
      <c r="AF1598" s="93">
        <f t="shared" si="67"/>
        <v>0</v>
      </c>
      <c r="AG1598" s="93">
        <f t="shared" si="68"/>
        <v>0</v>
      </c>
      <c r="AH1598" s="93">
        <f t="shared" si="69"/>
        <v>0</v>
      </c>
      <c r="AI1598" s="88" t="s">
        <v>55</v>
      </c>
      <c r="AJ1598" s="93">
        <f t="shared" si="70"/>
        <v>0</v>
      </c>
      <c r="AK1598" s="93">
        <f t="shared" si="71"/>
        <v>0</v>
      </c>
      <c r="AL1598" s="93">
        <f t="shared" si="72"/>
        <v>0</v>
      </c>
      <c r="AN1598" s="93">
        <v>21</v>
      </c>
      <c r="AO1598" s="93">
        <f t="shared" si="73"/>
        <v>0</v>
      </c>
      <c r="AP1598" s="93">
        <f t="shared" si="74"/>
        <v>0</v>
      </c>
      <c r="AQ1598" s="94" t="s">
        <v>148</v>
      </c>
      <c r="AV1598" s="93">
        <f t="shared" si="75"/>
        <v>0</v>
      </c>
      <c r="AW1598" s="93">
        <f t="shared" si="76"/>
        <v>0</v>
      </c>
      <c r="AX1598" s="93">
        <f t="shared" si="77"/>
        <v>0</v>
      </c>
      <c r="AY1598" s="94" t="s">
        <v>1760</v>
      </c>
      <c r="AZ1598" s="94" t="s">
        <v>1649</v>
      </c>
      <c r="BA1598" s="88" t="s">
        <v>67</v>
      </c>
      <c r="BC1598" s="93">
        <f t="shared" si="78"/>
        <v>0</v>
      </c>
      <c r="BD1598" s="93">
        <f t="shared" si="79"/>
        <v>0</v>
      </c>
      <c r="BE1598" s="93">
        <v>0</v>
      </c>
      <c r="BF1598" s="93">
        <f t="shared" si="80"/>
        <v>0</v>
      </c>
      <c r="BH1598" s="93">
        <f t="shared" si="81"/>
        <v>0</v>
      </c>
      <c r="BI1598" s="93">
        <f t="shared" si="82"/>
        <v>0</v>
      </c>
      <c r="BJ1598" s="93">
        <f t="shared" si="83"/>
        <v>0</v>
      </c>
      <c r="BK1598" s="93"/>
      <c r="BL1598" s="93"/>
      <c r="BW1598" s="93" t="str">
        <f t="shared" si="84"/>
        <v>21</v>
      </c>
      <c r="BX1598" s="2" t="s">
        <v>1735</v>
      </c>
    </row>
    <row r="1599" spans="1:76" s="81" customFormat="1" ht="25.5" x14ac:dyDescent="0.25">
      <c r="A1599" s="66" t="s">
        <v>1776</v>
      </c>
      <c r="B1599" s="72" t="s">
        <v>55</v>
      </c>
      <c r="C1599" s="72" t="s">
        <v>1775</v>
      </c>
      <c r="D1599" s="174" t="s">
        <v>1689</v>
      </c>
      <c r="E1599" s="174"/>
      <c r="F1599" s="72" t="s">
        <v>1671</v>
      </c>
      <c r="G1599" s="90">
        <v>12</v>
      </c>
      <c r="H1599" s="91"/>
      <c r="I1599" s="92" t="s">
        <v>63</v>
      </c>
      <c r="J1599" s="90">
        <f t="shared" si="57"/>
        <v>0</v>
      </c>
      <c r="K1599" s="90">
        <f t="shared" si="58"/>
        <v>0</v>
      </c>
      <c r="L1599" s="90">
        <f t="shared" si="59"/>
        <v>0</v>
      </c>
      <c r="M1599" s="90">
        <f t="shared" si="60"/>
        <v>0</v>
      </c>
      <c r="N1599" s="90">
        <v>0</v>
      </c>
      <c r="O1599" s="90">
        <f t="shared" si="61"/>
        <v>0</v>
      </c>
      <c r="P1599" s="92" t="s">
        <v>1647</v>
      </c>
      <c r="Z1599" s="93">
        <f t="shared" si="62"/>
        <v>0</v>
      </c>
      <c r="AB1599" s="93">
        <f t="shared" si="63"/>
        <v>0</v>
      </c>
      <c r="AC1599" s="93">
        <f t="shared" si="64"/>
        <v>0</v>
      </c>
      <c r="AD1599" s="93">
        <f t="shared" si="65"/>
        <v>0</v>
      </c>
      <c r="AE1599" s="93">
        <f t="shared" si="66"/>
        <v>0</v>
      </c>
      <c r="AF1599" s="93">
        <f t="shared" si="67"/>
        <v>0</v>
      </c>
      <c r="AG1599" s="93">
        <f t="shared" si="68"/>
        <v>0</v>
      </c>
      <c r="AH1599" s="93">
        <f t="shared" si="69"/>
        <v>0</v>
      </c>
      <c r="AI1599" s="88" t="s">
        <v>55</v>
      </c>
      <c r="AJ1599" s="93">
        <f t="shared" si="70"/>
        <v>0</v>
      </c>
      <c r="AK1599" s="93">
        <f t="shared" si="71"/>
        <v>0</v>
      </c>
      <c r="AL1599" s="93">
        <f t="shared" si="72"/>
        <v>0</v>
      </c>
      <c r="AN1599" s="93">
        <v>21</v>
      </c>
      <c r="AO1599" s="93">
        <f t="shared" si="73"/>
        <v>0</v>
      </c>
      <c r="AP1599" s="93">
        <f t="shared" si="74"/>
        <v>0</v>
      </c>
      <c r="AQ1599" s="94" t="s">
        <v>148</v>
      </c>
      <c r="AV1599" s="93">
        <f t="shared" si="75"/>
        <v>0</v>
      </c>
      <c r="AW1599" s="93">
        <f t="shared" si="76"/>
        <v>0</v>
      </c>
      <c r="AX1599" s="93">
        <f t="shared" si="77"/>
        <v>0</v>
      </c>
      <c r="AY1599" s="94" t="s">
        <v>1760</v>
      </c>
      <c r="AZ1599" s="94" t="s">
        <v>1649</v>
      </c>
      <c r="BA1599" s="88" t="s">
        <v>67</v>
      </c>
      <c r="BC1599" s="93">
        <f t="shared" si="78"/>
        <v>0</v>
      </c>
      <c r="BD1599" s="93">
        <f t="shared" si="79"/>
        <v>0</v>
      </c>
      <c r="BE1599" s="93">
        <v>0</v>
      </c>
      <c r="BF1599" s="93">
        <f t="shared" si="80"/>
        <v>0</v>
      </c>
      <c r="BH1599" s="93">
        <f t="shared" si="81"/>
        <v>0</v>
      </c>
      <c r="BI1599" s="93">
        <f t="shared" si="82"/>
        <v>0</v>
      </c>
      <c r="BJ1599" s="93">
        <f t="shared" si="83"/>
        <v>0</v>
      </c>
      <c r="BK1599" s="93"/>
      <c r="BL1599" s="93"/>
      <c r="BW1599" s="93" t="str">
        <f t="shared" si="84"/>
        <v>21</v>
      </c>
      <c r="BX1599" s="2" t="s">
        <v>1689</v>
      </c>
    </row>
    <row r="1600" spans="1:76" s="81" customFormat="1" ht="25.5" x14ac:dyDescent="0.25">
      <c r="A1600" s="66" t="s">
        <v>1779</v>
      </c>
      <c r="B1600" s="72" t="s">
        <v>55</v>
      </c>
      <c r="C1600" s="72" t="s">
        <v>1777</v>
      </c>
      <c r="D1600" s="174" t="s">
        <v>1778</v>
      </c>
      <c r="E1600" s="174"/>
      <c r="F1600" s="72" t="s">
        <v>1671</v>
      </c>
      <c r="G1600" s="90">
        <v>6</v>
      </c>
      <c r="H1600" s="91"/>
      <c r="I1600" s="92" t="s">
        <v>63</v>
      </c>
      <c r="J1600" s="90">
        <f t="shared" si="57"/>
        <v>0</v>
      </c>
      <c r="K1600" s="90">
        <f t="shared" si="58"/>
        <v>0</v>
      </c>
      <c r="L1600" s="90">
        <f t="shared" si="59"/>
        <v>0</v>
      </c>
      <c r="M1600" s="90">
        <f t="shared" si="60"/>
        <v>0</v>
      </c>
      <c r="N1600" s="90">
        <v>0</v>
      </c>
      <c r="O1600" s="90">
        <f t="shared" si="61"/>
        <v>0</v>
      </c>
      <c r="P1600" s="92" t="s">
        <v>1647</v>
      </c>
      <c r="Z1600" s="93">
        <f t="shared" si="62"/>
        <v>0</v>
      </c>
      <c r="AB1600" s="93">
        <f t="shared" si="63"/>
        <v>0</v>
      </c>
      <c r="AC1600" s="93">
        <f t="shared" si="64"/>
        <v>0</v>
      </c>
      <c r="AD1600" s="93">
        <f t="shared" si="65"/>
        <v>0</v>
      </c>
      <c r="AE1600" s="93">
        <f t="shared" si="66"/>
        <v>0</v>
      </c>
      <c r="AF1600" s="93">
        <f t="shared" si="67"/>
        <v>0</v>
      </c>
      <c r="AG1600" s="93">
        <f t="shared" si="68"/>
        <v>0</v>
      </c>
      <c r="AH1600" s="93">
        <f t="shared" si="69"/>
        <v>0</v>
      </c>
      <c r="AI1600" s="88" t="s">
        <v>55</v>
      </c>
      <c r="AJ1600" s="93">
        <f t="shared" si="70"/>
        <v>0</v>
      </c>
      <c r="AK1600" s="93">
        <f t="shared" si="71"/>
        <v>0</v>
      </c>
      <c r="AL1600" s="93">
        <f t="shared" si="72"/>
        <v>0</v>
      </c>
      <c r="AN1600" s="93">
        <v>21</v>
      </c>
      <c r="AO1600" s="93">
        <f t="shared" si="73"/>
        <v>0</v>
      </c>
      <c r="AP1600" s="93">
        <f t="shared" si="74"/>
        <v>0</v>
      </c>
      <c r="AQ1600" s="94" t="s">
        <v>148</v>
      </c>
      <c r="AV1600" s="93">
        <f t="shared" si="75"/>
        <v>0</v>
      </c>
      <c r="AW1600" s="93">
        <f t="shared" si="76"/>
        <v>0</v>
      </c>
      <c r="AX1600" s="93">
        <f t="shared" si="77"/>
        <v>0</v>
      </c>
      <c r="AY1600" s="94" t="s">
        <v>1760</v>
      </c>
      <c r="AZ1600" s="94" t="s">
        <v>1649</v>
      </c>
      <c r="BA1600" s="88" t="s">
        <v>67</v>
      </c>
      <c r="BC1600" s="93">
        <f t="shared" si="78"/>
        <v>0</v>
      </c>
      <c r="BD1600" s="93">
        <f t="shared" si="79"/>
        <v>0</v>
      </c>
      <c r="BE1600" s="93">
        <v>0</v>
      </c>
      <c r="BF1600" s="93">
        <f t="shared" si="80"/>
        <v>0</v>
      </c>
      <c r="BH1600" s="93">
        <f t="shared" si="81"/>
        <v>0</v>
      </c>
      <c r="BI1600" s="93">
        <f t="shared" si="82"/>
        <v>0</v>
      </c>
      <c r="BJ1600" s="93">
        <f t="shared" si="83"/>
        <v>0</v>
      </c>
      <c r="BK1600" s="93"/>
      <c r="BL1600" s="93"/>
      <c r="BW1600" s="93" t="str">
        <f t="shared" si="84"/>
        <v>21</v>
      </c>
      <c r="BX1600" s="2" t="s">
        <v>1778</v>
      </c>
    </row>
    <row r="1601" spans="1:76" s="81" customFormat="1" ht="25.5" x14ac:dyDescent="0.25">
      <c r="A1601" s="66" t="s">
        <v>1782</v>
      </c>
      <c r="B1601" s="72" t="s">
        <v>55</v>
      </c>
      <c r="C1601" s="72" t="s">
        <v>1780</v>
      </c>
      <c r="D1601" s="174" t="s">
        <v>1781</v>
      </c>
      <c r="E1601" s="174"/>
      <c r="F1601" s="72" t="s">
        <v>1671</v>
      </c>
      <c r="G1601" s="90">
        <v>10</v>
      </c>
      <c r="H1601" s="91"/>
      <c r="I1601" s="92" t="s">
        <v>63</v>
      </c>
      <c r="J1601" s="90">
        <f t="shared" si="57"/>
        <v>0</v>
      </c>
      <c r="K1601" s="90">
        <f t="shared" si="58"/>
        <v>0</v>
      </c>
      <c r="L1601" s="90">
        <f t="shared" si="59"/>
        <v>0</v>
      </c>
      <c r="M1601" s="90">
        <f t="shared" si="60"/>
        <v>0</v>
      </c>
      <c r="N1601" s="90">
        <v>0</v>
      </c>
      <c r="O1601" s="90">
        <f t="shared" si="61"/>
        <v>0</v>
      </c>
      <c r="P1601" s="92" t="s">
        <v>1647</v>
      </c>
      <c r="Z1601" s="93">
        <f t="shared" si="62"/>
        <v>0</v>
      </c>
      <c r="AB1601" s="93">
        <f t="shared" si="63"/>
        <v>0</v>
      </c>
      <c r="AC1601" s="93">
        <f t="shared" si="64"/>
        <v>0</v>
      </c>
      <c r="AD1601" s="93">
        <f t="shared" si="65"/>
        <v>0</v>
      </c>
      <c r="AE1601" s="93">
        <f t="shared" si="66"/>
        <v>0</v>
      </c>
      <c r="AF1601" s="93">
        <f t="shared" si="67"/>
        <v>0</v>
      </c>
      <c r="AG1601" s="93">
        <f t="shared" si="68"/>
        <v>0</v>
      </c>
      <c r="AH1601" s="93">
        <f t="shared" si="69"/>
        <v>0</v>
      </c>
      <c r="AI1601" s="88" t="s">
        <v>55</v>
      </c>
      <c r="AJ1601" s="93">
        <f t="shared" si="70"/>
        <v>0</v>
      </c>
      <c r="AK1601" s="93">
        <f t="shared" si="71"/>
        <v>0</v>
      </c>
      <c r="AL1601" s="93">
        <f t="shared" si="72"/>
        <v>0</v>
      </c>
      <c r="AN1601" s="93">
        <v>21</v>
      </c>
      <c r="AO1601" s="93">
        <f t="shared" si="73"/>
        <v>0</v>
      </c>
      <c r="AP1601" s="93">
        <f t="shared" si="74"/>
        <v>0</v>
      </c>
      <c r="AQ1601" s="94" t="s">
        <v>148</v>
      </c>
      <c r="AV1601" s="93">
        <f t="shared" si="75"/>
        <v>0</v>
      </c>
      <c r="AW1601" s="93">
        <f t="shared" si="76"/>
        <v>0</v>
      </c>
      <c r="AX1601" s="93">
        <f t="shared" si="77"/>
        <v>0</v>
      </c>
      <c r="AY1601" s="94" t="s">
        <v>1760</v>
      </c>
      <c r="AZ1601" s="94" t="s">
        <v>1649</v>
      </c>
      <c r="BA1601" s="88" t="s">
        <v>67</v>
      </c>
      <c r="BC1601" s="93">
        <f t="shared" si="78"/>
        <v>0</v>
      </c>
      <c r="BD1601" s="93">
        <f t="shared" si="79"/>
        <v>0</v>
      </c>
      <c r="BE1601" s="93">
        <v>0</v>
      </c>
      <c r="BF1601" s="93">
        <f t="shared" si="80"/>
        <v>0</v>
      </c>
      <c r="BH1601" s="93">
        <f t="shared" si="81"/>
        <v>0</v>
      </c>
      <c r="BI1601" s="93">
        <f t="shared" si="82"/>
        <v>0</v>
      </c>
      <c r="BJ1601" s="93">
        <f t="shared" si="83"/>
        <v>0</v>
      </c>
      <c r="BK1601" s="93"/>
      <c r="BL1601" s="93"/>
      <c r="BW1601" s="93" t="str">
        <f t="shared" si="84"/>
        <v>21</v>
      </c>
      <c r="BX1601" s="2" t="s">
        <v>1781</v>
      </c>
    </row>
    <row r="1602" spans="1:76" s="81" customFormat="1" ht="25.5" x14ac:dyDescent="0.25">
      <c r="A1602" s="66" t="s">
        <v>1785</v>
      </c>
      <c r="B1602" s="72" t="s">
        <v>55</v>
      </c>
      <c r="C1602" s="72" t="s">
        <v>1783</v>
      </c>
      <c r="D1602" s="174" t="s">
        <v>1784</v>
      </c>
      <c r="E1602" s="174"/>
      <c r="F1602" s="72" t="s">
        <v>203</v>
      </c>
      <c r="G1602" s="90">
        <v>9</v>
      </c>
      <c r="H1602" s="91"/>
      <c r="I1602" s="92" t="s">
        <v>63</v>
      </c>
      <c r="J1602" s="90">
        <f t="shared" si="57"/>
        <v>0</v>
      </c>
      <c r="K1602" s="90">
        <f t="shared" si="58"/>
        <v>0</v>
      </c>
      <c r="L1602" s="90">
        <f t="shared" si="59"/>
        <v>0</v>
      </c>
      <c r="M1602" s="90">
        <f t="shared" si="60"/>
        <v>0</v>
      </c>
      <c r="N1602" s="90">
        <v>0</v>
      </c>
      <c r="O1602" s="90">
        <f t="shared" si="61"/>
        <v>0</v>
      </c>
      <c r="P1602" s="92" t="s">
        <v>1647</v>
      </c>
      <c r="Z1602" s="93">
        <f t="shared" si="62"/>
        <v>0</v>
      </c>
      <c r="AB1602" s="93">
        <f t="shared" si="63"/>
        <v>0</v>
      </c>
      <c r="AC1602" s="93">
        <f t="shared" si="64"/>
        <v>0</v>
      </c>
      <c r="AD1602" s="93">
        <f t="shared" si="65"/>
        <v>0</v>
      </c>
      <c r="AE1602" s="93">
        <f t="shared" si="66"/>
        <v>0</v>
      </c>
      <c r="AF1602" s="93">
        <f t="shared" si="67"/>
        <v>0</v>
      </c>
      <c r="AG1602" s="93">
        <f t="shared" si="68"/>
        <v>0</v>
      </c>
      <c r="AH1602" s="93">
        <f t="shared" si="69"/>
        <v>0</v>
      </c>
      <c r="AI1602" s="88" t="s">
        <v>55</v>
      </c>
      <c r="AJ1602" s="93">
        <f t="shared" si="70"/>
        <v>0</v>
      </c>
      <c r="AK1602" s="93">
        <f t="shared" si="71"/>
        <v>0</v>
      </c>
      <c r="AL1602" s="93">
        <f t="shared" si="72"/>
        <v>0</v>
      </c>
      <c r="AN1602" s="93">
        <v>21</v>
      </c>
      <c r="AO1602" s="93">
        <f t="shared" si="73"/>
        <v>0</v>
      </c>
      <c r="AP1602" s="93">
        <f t="shared" si="74"/>
        <v>0</v>
      </c>
      <c r="AQ1602" s="94" t="s">
        <v>148</v>
      </c>
      <c r="AV1602" s="93">
        <f t="shared" si="75"/>
        <v>0</v>
      </c>
      <c r="AW1602" s="93">
        <f t="shared" si="76"/>
        <v>0</v>
      </c>
      <c r="AX1602" s="93">
        <f t="shared" si="77"/>
        <v>0</v>
      </c>
      <c r="AY1602" s="94" t="s">
        <v>1760</v>
      </c>
      <c r="AZ1602" s="94" t="s">
        <v>1649</v>
      </c>
      <c r="BA1602" s="88" t="s">
        <v>67</v>
      </c>
      <c r="BC1602" s="93">
        <f t="shared" si="78"/>
        <v>0</v>
      </c>
      <c r="BD1602" s="93">
        <f t="shared" si="79"/>
        <v>0</v>
      </c>
      <c r="BE1602" s="93">
        <v>0</v>
      </c>
      <c r="BF1602" s="93">
        <f t="shared" si="80"/>
        <v>0</v>
      </c>
      <c r="BH1602" s="93">
        <f t="shared" si="81"/>
        <v>0</v>
      </c>
      <c r="BI1602" s="93">
        <f t="shared" si="82"/>
        <v>0</v>
      </c>
      <c r="BJ1602" s="93">
        <f t="shared" si="83"/>
        <v>0</v>
      </c>
      <c r="BK1602" s="93"/>
      <c r="BL1602" s="93"/>
      <c r="BW1602" s="93" t="str">
        <f t="shared" si="84"/>
        <v>21</v>
      </c>
      <c r="BX1602" s="2" t="s">
        <v>1784</v>
      </c>
    </row>
    <row r="1603" spans="1:76" s="81" customFormat="1" ht="25.5" x14ac:dyDescent="0.25">
      <c r="A1603" s="66" t="s">
        <v>1789</v>
      </c>
      <c r="B1603" s="72" t="s">
        <v>55</v>
      </c>
      <c r="C1603" s="72" t="s">
        <v>1786</v>
      </c>
      <c r="D1603" s="174" t="s">
        <v>1710</v>
      </c>
      <c r="E1603" s="174"/>
      <c r="F1603" s="72" t="s">
        <v>1332</v>
      </c>
      <c r="G1603" s="90">
        <v>1</v>
      </c>
      <c r="H1603" s="91"/>
      <c r="I1603" s="92" t="s">
        <v>63</v>
      </c>
      <c r="J1603" s="90">
        <f t="shared" si="57"/>
        <v>0</v>
      </c>
      <c r="K1603" s="90">
        <f t="shared" si="58"/>
        <v>0</v>
      </c>
      <c r="L1603" s="90">
        <f t="shared" si="59"/>
        <v>0</v>
      </c>
      <c r="M1603" s="90">
        <f t="shared" si="60"/>
        <v>0</v>
      </c>
      <c r="N1603" s="90">
        <v>0</v>
      </c>
      <c r="O1603" s="90">
        <f t="shared" si="61"/>
        <v>0</v>
      </c>
      <c r="P1603" s="92" t="s">
        <v>1647</v>
      </c>
      <c r="Z1603" s="93">
        <f t="shared" si="62"/>
        <v>0</v>
      </c>
      <c r="AB1603" s="93">
        <f t="shared" si="63"/>
        <v>0</v>
      </c>
      <c r="AC1603" s="93">
        <f t="shared" si="64"/>
        <v>0</v>
      </c>
      <c r="AD1603" s="93">
        <f t="shared" si="65"/>
        <v>0</v>
      </c>
      <c r="AE1603" s="93">
        <f t="shared" si="66"/>
        <v>0</v>
      </c>
      <c r="AF1603" s="93">
        <f t="shared" si="67"/>
        <v>0</v>
      </c>
      <c r="AG1603" s="93">
        <f t="shared" si="68"/>
        <v>0</v>
      </c>
      <c r="AH1603" s="93">
        <f t="shared" si="69"/>
        <v>0</v>
      </c>
      <c r="AI1603" s="88" t="s">
        <v>55</v>
      </c>
      <c r="AJ1603" s="93">
        <f t="shared" si="70"/>
        <v>0</v>
      </c>
      <c r="AK1603" s="93">
        <f t="shared" si="71"/>
        <v>0</v>
      </c>
      <c r="AL1603" s="93">
        <f t="shared" si="72"/>
        <v>0</v>
      </c>
      <c r="AN1603" s="93">
        <v>21</v>
      </c>
      <c r="AO1603" s="93">
        <f t="shared" si="73"/>
        <v>0</v>
      </c>
      <c r="AP1603" s="93">
        <f t="shared" si="74"/>
        <v>0</v>
      </c>
      <c r="AQ1603" s="94" t="s">
        <v>148</v>
      </c>
      <c r="AV1603" s="93">
        <f t="shared" si="75"/>
        <v>0</v>
      </c>
      <c r="AW1603" s="93">
        <f t="shared" si="76"/>
        <v>0</v>
      </c>
      <c r="AX1603" s="93">
        <f t="shared" si="77"/>
        <v>0</v>
      </c>
      <c r="AY1603" s="94" t="s">
        <v>1760</v>
      </c>
      <c r="AZ1603" s="94" t="s">
        <v>1649</v>
      </c>
      <c r="BA1603" s="88" t="s">
        <v>67</v>
      </c>
      <c r="BC1603" s="93">
        <f t="shared" si="78"/>
        <v>0</v>
      </c>
      <c r="BD1603" s="93">
        <f t="shared" si="79"/>
        <v>0</v>
      </c>
      <c r="BE1603" s="93">
        <v>0</v>
      </c>
      <c r="BF1603" s="93">
        <f t="shared" si="80"/>
        <v>0</v>
      </c>
      <c r="BH1603" s="93">
        <f t="shared" si="81"/>
        <v>0</v>
      </c>
      <c r="BI1603" s="93">
        <f t="shared" si="82"/>
        <v>0</v>
      </c>
      <c r="BJ1603" s="93">
        <f t="shared" si="83"/>
        <v>0</v>
      </c>
      <c r="BK1603" s="93"/>
      <c r="BL1603" s="93"/>
      <c r="BW1603" s="93" t="str">
        <f t="shared" si="84"/>
        <v>21</v>
      </c>
      <c r="BX1603" s="2" t="s">
        <v>1710</v>
      </c>
    </row>
    <row r="1604" spans="1:76" s="81" customFormat="1" x14ac:dyDescent="0.25">
      <c r="A1604" s="109" t="s">
        <v>54</v>
      </c>
      <c r="B1604" s="74" t="s">
        <v>55</v>
      </c>
      <c r="C1604" s="74" t="s">
        <v>1787</v>
      </c>
      <c r="D1604" s="180" t="s">
        <v>1788</v>
      </c>
      <c r="E1604" s="180"/>
      <c r="F1604" s="85" t="s">
        <v>4</v>
      </c>
      <c r="G1604" s="85" t="s">
        <v>4</v>
      </c>
      <c r="H1604" s="98"/>
      <c r="I1604" s="85" t="s">
        <v>4</v>
      </c>
      <c r="J1604" s="86">
        <f>SUM(J1605:J1611)</f>
        <v>0</v>
      </c>
      <c r="K1604" s="86">
        <f>SUM(K1605:K1611)</f>
        <v>0</v>
      </c>
      <c r="L1604" s="86">
        <f>SUM(L1605:L1611)</f>
        <v>0</v>
      </c>
      <c r="M1604" s="86">
        <f>SUM(M1605:M1611)</f>
        <v>0</v>
      </c>
      <c r="N1604" s="87" t="s">
        <v>54</v>
      </c>
      <c r="O1604" s="86">
        <f>SUM(O1605:O1611)</f>
        <v>0</v>
      </c>
      <c r="P1604" s="87" t="s">
        <v>54</v>
      </c>
      <c r="AI1604" s="88" t="s">
        <v>55</v>
      </c>
      <c r="AS1604" s="89">
        <f>SUM(AJ1605:AJ1611)</f>
        <v>0</v>
      </c>
      <c r="AT1604" s="89">
        <f>SUM(AK1605:AK1611)</f>
        <v>0</v>
      </c>
      <c r="AU1604" s="89">
        <f>SUM(AL1605:AL1611)</f>
        <v>0</v>
      </c>
    </row>
    <row r="1605" spans="1:76" s="81" customFormat="1" ht="25.5" x14ac:dyDescent="0.25">
      <c r="A1605" s="66" t="s">
        <v>1793</v>
      </c>
      <c r="B1605" s="72" t="s">
        <v>55</v>
      </c>
      <c r="C1605" s="72" t="s">
        <v>1790</v>
      </c>
      <c r="D1605" s="174" t="s">
        <v>1791</v>
      </c>
      <c r="E1605" s="174"/>
      <c r="F1605" s="72" t="s">
        <v>203</v>
      </c>
      <c r="G1605" s="90">
        <v>2</v>
      </c>
      <c r="H1605" s="91"/>
      <c r="I1605" s="92" t="s">
        <v>63</v>
      </c>
      <c r="J1605" s="90">
        <f t="shared" ref="J1605:J1611" si="85">G1605*AO1605</f>
        <v>0</v>
      </c>
      <c r="K1605" s="90">
        <f t="shared" ref="K1605:K1611" si="86">G1605*AP1605</f>
        <v>0</v>
      </c>
      <c r="L1605" s="90">
        <f t="shared" ref="L1605:L1611" si="87">G1605*H1605</f>
        <v>0</v>
      </c>
      <c r="M1605" s="90">
        <f t="shared" ref="M1605:M1611" si="88">L1605*(1+BW1605/100)</f>
        <v>0</v>
      </c>
      <c r="N1605" s="90">
        <v>0</v>
      </c>
      <c r="O1605" s="90">
        <f t="shared" ref="O1605:O1611" si="89">G1605*N1605</f>
        <v>0</v>
      </c>
      <c r="P1605" s="92" t="s">
        <v>1647</v>
      </c>
      <c r="Z1605" s="93">
        <f t="shared" ref="Z1605:Z1611" si="90">IF(AQ1605="5",BJ1605,0)</f>
        <v>0</v>
      </c>
      <c r="AB1605" s="93">
        <f t="shared" ref="AB1605:AB1611" si="91">IF(AQ1605="1",BH1605,0)</f>
        <v>0</v>
      </c>
      <c r="AC1605" s="93">
        <f t="shared" ref="AC1605:AC1611" si="92">IF(AQ1605="1",BI1605,0)</f>
        <v>0</v>
      </c>
      <c r="AD1605" s="93">
        <f t="shared" ref="AD1605:AD1611" si="93">IF(AQ1605="7",BH1605,0)</f>
        <v>0</v>
      </c>
      <c r="AE1605" s="93">
        <f t="shared" ref="AE1605:AE1611" si="94">IF(AQ1605="7",BI1605,0)</f>
        <v>0</v>
      </c>
      <c r="AF1605" s="93">
        <f t="shared" ref="AF1605:AF1611" si="95">IF(AQ1605="2",BH1605,0)</f>
        <v>0</v>
      </c>
      <c r="AG1605" s="93">
        <f t="shared" ref="AG1605:AG1611" si="96">IF(AQ1605="2",BI1605,0)</f>
        <v>0</v>
      </c>
      <c r="AH1605" s="93">
        <f t="shared" ref="AH1605:AH1611" si="97">IF(AQ1605="0",BJ1605,0)</f>
        <v>0</v>
      </c>
      <c r="AI1605" s="88" t="s">
        <v>55</v>
      </c>
      <c r="AJ1605" s="93">
        <f t="shared" ref="AJ1605:AJ1611" si="98">IF(AN1605=0,L1605,0)</f>
        <v>0</v>
      </c>
      <c r="AK1605" s="93">
        <f t="shared" ref="AK1605:AK1611" si="99">IF(AN1605=12,L1605,0)</f>
        <v>0</v>
      </c>
      <c r="AL1605" s="93">
        <f t="shared" ref="AL1605:AL1611" si="100">IF(AN1605=21,L1605,0)</f>
        <v>0</v>
      </c>
      <c r="AN1605" s="93">
        <v>21</v>
      </c>
      <c r="AO1605" s="93">
        <f t="shared" ref="AO1605:AO1611" si="101">H1605*0</f>
        <v>0</v>
      </c>
      <c r="AP1605" s="93">
        <f t="shared" ref="AP1605:AP1611" si="102">H1605*(1-0)</f>
        <v>0</v>
      </c>
      <c r="AQ1605" s="94" t="s">
        <v>148</v>
      </c>
      <c r="AV1605" s="93">
        <f t="shared" ref="AV1605:AV1611" si="103">AW1605+AX1605</f>
        <v>0</v>
      </c>
      <c r="AW1605" s="93">
        <f t="shared" ref="AW1605:AW1611" si="104">G1605*AO1605</f>
        <v>0</v>
      </c>
      <c r="AX1605" s="93">
        <f t="shared" ref="AX1605:AX1611" si="105">G1605*AP1605</f>
        <v>0</v>
      </c>
      <c r="AY1605" s="94" t="s">
        <v>1792</v>
      </c>
      <c r="AZ1605" s="94" t="s">
        <v>1649</v>
      </c>
      <c r="BA1605" s="88" t="s">
        <v>67</v>
      </c>
      <c r="BC1605" s="93">
        <f t="shared" ref="BC1605:BC1611" si="106">AW1605+AX1605</f>
        <v>0</v>
      </c>
      <c r="BD1605" s="93">
        <f t="shared" ref="BD1605:BD1611" si="107">H1605/(100-BE1605)*100</f>
        <v>0</v>
      </c>
      <c r="BE1605" s="93">
        <v>0</v>
      </c>
      <c r="BF1605" s="93">
        <f t="shared" ref="BF1605:BF1611" si="108">O1605</f>
        <v>0</v>
      </c>
      <c r="BH1605" s="93">
        <f t="shared" ref="BH1605:BH1611" si="109">G1605*AO1605</f>
        <v>0</v>
      </c>
      <c r="BI1605" s="93">
        <f t="shared" ref="BI1605:BI1611" si="110">G1605*AP1605</f>
        <v>0</v>
      </c>
      <c r="BJ1605" s="93">
        <f t="shared" ref="BJ1605:BJ1611" si="111">G1605*H1605</f>
        <v>0</v>
      </c>
      <c r="BK1605" s="93"/>
      <c r="BL1605" s="93"/>
      <c r="BW1605" s="93" t="str">
        <f t="shared" ref="BW1605:BW1611" si="112">I1605</f>
        <v>21</v>
      </c>
      <c r="BX1605" s="2" t="s">
        <v>1791</v>
      </c>
    </row>
    <row r="1606" spans="1:76" s="81" customFormat="1" ht="25.5" x14ac:dyDescent="0.25">
      <c r="A1606" s="66" t="s">
        <v>1796</v>
      </c>
      <c r="B1606" s="72" t="s">
        <v>55</v>
      </c>
      <c r="C1606" s="72" t="s">
        <v>1794</v>
      </c>
      <c r="D1606" s="174" t="s">
        <v>1795</v>
      </c>
      <c r="E1606" s="174"/>
      <c r="F1606" s="72" t="s">
        <v>203</v>
      </c>
      <c r="G1606" s="90">
        <v>1</v>
      </c>
      <c r="H1606" s="91"/>
      <c r="I1606" s="92" t="s">
        <v>63</v>
      </c>
      <c r="J1606" s="90">
        <f t="shared" si="85"/>
        <v>0</v>
      </c>
      <c r="K1606" s="90">
        <f t="shared" si="86"/>
        <v>0</v>
      </c>
      <c r="L1606" s="90">
        <f t="shared" si="87"/>
        <v>0</v>
      </c>
      <c r="M1606" s="90">
        <f t="shared" si="88"/>
        <v>0</v>
      </c>
      <c r="N1606" s="90">
        <v>0</v>
      </c>
      <c r="O1606" s="90">
        <f t="shared" si="89"/>
        <v>0</v>
      </c>
      <c r="P1606" s="92" t="s">
        <v>1647</v>
      </c>
      <c r="Z1606" s="93">
        <f t="shared" si="90"/>
        <v>0</v>
      </c>
      <c r="AB1606" s="93">
        <f t="shared" si="91"/>
        <v>0</v>
      </c>
      <c r="AC1606" s="93">
        <f t="shared" si="92"/>
        <v>0</v>
      </c>
      <c r="AD1606" s="93">
        <f t="shared" si="93"/>
        <v>0</v>
      </c>
      <c r="AE1606" s="93">
        <f t="shared" si="94"/>
        <v>0</v>
      </c>
      <c r="AF1606" s="93">
        <f t="shared" si="95"/>
        <v>0</v>
      </c>
      <c r="AG1606" s="93">
        <f t="shared" si="96"/>
        <v>0</v>
      </c>
      <c r="AH1606" s="93">
        <f t="shared" si="97"/>
        <v>0</v>
      </c>
      <c r="AI1606" s="88" t="s">
        <v>55</v>
      </c>
      <c r="AJ1606" s="93">
        <f t="shared" si="98"/>
        <v>0</v>
      </c>
      <c r="AK1606" s="93">
        <f t="shared" si="99"/>
        <v>0</v>
      </c>
      <c r="AL1606" s="93">
        <f t="shared" si="100"/>
        <v>0</v>
      </c>
      <c r="AN1606" s="93">
        <v>21</v>
      </c>
      <c r="AO1606" s="93">
        <f t="shared" si="101"/>
        <v>0</v>
      </c>
      <c r="AP1606" s="93">
        <f t="shared" si="102"/>
        <v>0</v>
      </c>
      <c r="AQ1606" s="94" t="s">
        <v>148</v>
      </c>
      <c r="AV1606" s="93">
        <f t="shared" si="103"/>
        <v>0</v>
      </c>
      <c r="AW1606" s="93">
        <f t="shared" si="104"/>
        <v>0</v>
      </c>
      <c r="AX1606" s="93">
        <f t="shared" si="105"/>
        <v>0</v>
      </c>
      <c r="AY1606" s="94" t="s">
        <v>1792</v>
      </c>
      <c r="AZ1606" s="94" t="s">
        <v>1649</v>
      </c>
      <c r="BA1606" s="88" t="s">
        <v>67</v>
      </c>
      <c r="BC1606" s="93">
        <f t="shared" si="106"/>
        <v>0</v>
      </c>
      <c r="BD1606" s="93">
        <f t="shared" si="107"/>
        <v>0</v>
      </c>
      <c r="BE1606" s="93">
        <v>0</v>
      </c>
      <c r="BF1606" s="93">
        <f t="shared" si="108"/>
        <v>0</v>
      </c>
      <c r="BH1606" s="93">
        <f t="shared" si="109"/>
        <v>0</v>
      </c>
      <c r="BI1606" s="93">
        <f t="shared" si="110"/>
        <v>0</v>
      </c>
      <c r="BJ1606" s="93">
        <f t="shared" si="111"/>
        <v>0</v>
      </c>
      <c r="BK1606" s="93"/>
      <c r="BL1606" s="93"/>
      <c r="BW1606" s="93" t="str">
        <f t="shared" si="112"/>
        <v>21</v>
      </c>
      <c r="BX1606" s="2" t="s">
        <v>1795</v>
      </c>
    </row>
    <row r="1607" spans="1:76" s="81" customFormat="1" ht="25.5" x14ac:dyDescent="0.25">
      <c r="A1607" s="66" t="s">
        <v>1799</v>
      </c>
      <c r="B1607" s="72" t="s">
        <v>55</v>
      </c>
      <c r="C1607" s="72" t="s">
        <v>1797</v>
      </c>
      <c r="D1607" s="174" t="s">
        <v>1798</v>
      </c>
      <c r="E1607" s="174"/>
      <c r="F1607" s="72" t="s">
        <v>203</v>
      </c>
      <c r="G1607" s="90">
        <v>1</v>
      </c>
      <c r="H1607" s="91"/>
      <c r="I1607" s="92" t="s">
        <v>63</v>
      </c>
      <c r="J1607" s="90">
        <f t="shared" si="85"/>
        <v>0</v>
      </c>
      <c r="K1607" s="90">
        <f t="shared" si="86"/>
        <v>0</v>
      </c>
      <c r="L1607" s="90">
        <f t="shared" si="87"/>
        <v>0</v>
      </c>
      <c r="M1607" s="90">
        <f t="shared" si="88"/>
        <v>0</v>
      </c>
      <c r="N1607" s="90">
        <v>0</v>
      </c>
      <c r="O1607" s="90">
        <f t="shared" si="89"/>
        <v>0</v>
      </c>
      <c r="P1607" s="92" t="s">
        <v>1647</v>
      </c>
      <c r="Z1607" s="93">
        <f t="shared" si="90"/>
        <v>0</v>
      </c>
      <c r="AB1607" s="93">
        <f t="shared" si="91"/>
        <v>0</v>
      </c>
      <c r="AC1607" s="93">
        <f t="shared" si="92"/>
        <v>0</v>
      </c>
      <c r="AD1607" s="93">
        <f t="shared" si="93"/>
        <v>0</v>
      </c>
      <c r="AE1607" s="93">
        <f t="shared" si="94"/>
        <v>0</v>
      </c>
      <c r="AF1607" s="93">
        <f t="shared" si="95"/>
        <v>0</v>
      </c>
      <c r="AG1607" s="93">
        <f t="shared" si="96"/>
        <v>0</v>
      </c>
      <c r="AH1607" s="93">
        <f t="shared" si="97"/>
        <v>0</v>
      </c>
      <c r="AI1607" s="88" t="s">
        <v>55</v>
      </c>
      <c r="AJ1607" s="93">
        <f t="shared" si="98"/>
        <v>0</v>
      </c>
      <c r="AK1607" s="93">
        <f t="shared" si="99"/>
        <v>0</v>
      </c>
      <c r="AL1607" s="93">
        <f t="shared" si="100"/>
        <v>0</v>
      </c>
      <c r="AN1607" s="93">
        <v>21</v>
      </c>
      <c r="AO1607" s="93">
        <f t="shared" si="101"/>
        <v>0</v>
      </c>
      <c r="AP1607" s="93">
        <f t="shared" si="102"/>
        <v>0</v>
      </c>
      <c r="AQ1607" s="94" t="s">
        <v>148</v>
      </c>
      <c r="AV1607" s="93">
        <f t="shared" si="103"/>
        <v>0</v>
      </c>
      <c r="AW1607" s="93">
        <f t="shared" si="104"/>
        <v>0</v>
      </c>
      <c r="AX1607" s="93">
        <f t="shared" si="105"/>
        <v>0</v>
      </c>
      <c r="AY1607" s="94" t="s">
        <v>1792</v>
      </c>
      <c r="AZ1607" s="94" t="s">
        <v>1649</v>
      </c>
      <c r="BA1607" s="88" t="s">
        <v>67</v>
      </c>
      <c r="BC1607" s="93">
        <f t="shared" si="106"/>
        <v>0</v>
      </c>
      <c r="BD1607" s="93">
        <f t="shared" si="107"/>
        <v>0</v>
      </c>
      <c r="BE1607" s="93">
        <v>0</v>
      </c>
      <c r="BF1607" s="93">
        <f t="shared" si="108"/>
        <v>0</v>
      </c>
      <c r="BH1607" s="93">
        <f t="shared" si="109"/>
        <v>0</v>
      </c>
      <c r="BI1607" s="93">
        <f t="shared" si="110"/>
        <v>0</v>
      </c>
      <c r="BJ1607" s="93">
        <f t="shared" si="111"/>
        <v>0</v>
      </c>
      <c r="BK1607" s="93"/>
      <c r="BL1607" s="93"/>
      <c r="BW1607" s="93" t="str">
        <f t="shared" si="112"/>
        <v>21</v>
      </c>
      <c r="BX1607" s="2" t="s">
        <v>1798</v>
      </c>
    </row>
    <row r="1608" spans="1:76" s="81" customFormat="1" ht="25.5" x14ac:dyDescent="0.25">
      <c r="A1608" s="66" t="s">
        <v>1802</v>
      </c>
      <c r="B1608" s="72" t="s">
        <v>55</v>
      </c>
      <c r="C1608" s="72" t="s">
        <v>1800</v>
      </c>
      <c r="D1608" s="174" t="s">
        <v>1801</v>
      </c>
      <c r="E1608" s="174"/>
      <c r="F1608" s="72" t="s">
        <v>203</v>
      </c>
      <c r="G1608" s="90">
        <v>4</v>
      </c>
      <c r="H1608" s="91"/>
      <c r="I1608" s="92" t="s">
        <v>63</v>
      </c>
      <c r="J1608" s="90">
        <f t="shared" si="85"/>
        <v>0</v>
      </c>
      <c r="K1608" s="90">
        <f t="shared" si="86"/>
        <v>0</v>
      </c>
      <c r="L1608" s="90">
        <f t="shared" si="87"/>
        <v>0</v>
      </c>
      <c r="M1608" s="90">
        <f t="shared" si="88"/>
        <v>0</v>
      </c>
      <c r="N1608" s="90">
        <v>0</v>
      </c>
      <c r="O1608" s="90">
        <f t="shared" si="89"/>
        <v>0</v>
      </c>
      <c r="P1608" s="92" t="s">
        <v>1647</v>
      </c>
      <c r="Z1608" s="93">
        <f t="shared" si="90"/>
        <v>0</v>
      </c>
      <c r="AB1608" s="93">
        <f t="shared" si="91"/>
        <v>0</v>
      </c>
      <c r="AC1608" s="93">
        <f t="shared" si="92"/>
        <v>0</v>
      </c>
      <c r="AD1608" s="93">
        <f t="shared" si="93"/>
        <v>0</v>
      </c>
      <c r="AE1608" s="93">
        <f t="shared" si="94"/>
        <v>0</v>
      </c>
      <c r="AF1608" s="93">
        <f t="shared" si="95"/>
        <v>0</v>
      </c>
      <c r="AG1608" s="93">
        <f t="shared" si="96"/>
        <v>0</v>
      </c>
      <c r="AH1608" s="93">
        <f t="shared" si="97"/>
        <v>0</v>
      </c>
      <c r="AI1608" s="88" t="s">
        <v>55</v>
      </c>
      <c r="AJ1608" s="93">
        <f t="shared" si="98"/>
        <v>0</v>
      </c>
      <c r="AK1608" s="93">
        <f t="shared" si="99"/>
        <v>0</v>
      </c>
      <c r="AL1608" s="93">
        <f t="shared" si="100"/>
        <v>0</v>
      </c>
      <c r="AN1608" s="93">
        <v>21</v>
      </c>
      <c r="AO1608" s="93">
        <f t="shared" si="101"/>
        <v>0</v>
      </c>
      <c r="AP1608" s="93">
        <f t="shared" si="102"/>
        <v>0</v>
      </c>
      <c r="AQ1608" s="94" t="s">
        <v>148</v>
      </c>
      <c r="AV1608" s="93">
        <f t="shared" si="103"/>
        <v>0</v>
      </c>
      <c r="AW1608" s="93">
        <f t="shared" si="104"/>
        <v>0</v>
      </c>
      <c r="AX1608" s="93">
        <f t="shared" si="105"/>
        <v>0</v>
      </c>
      <c r="AY1608" s="94" t="s">
        <v>1792</v>
      </c>
      <c r="AZ1608" s="94" t="s">
        <v>1649</v>
      </c>
      <c r="BA1608" s="88" t="s">
        <v>67</v>
      </c>
      <c r="BC1608" s="93">
        <f t="shared" si="106"/>
        <v>0</v>
      </c>
      <c r="BD1608" s="93">
        <f t="shared" si="107"/>
        <v>0</v>
      </c>
      <c r="BE1608" s="93">
        <v>0</v>
      </c>
      <c r="BF1608" s="93">
        <f t="shared" si="108"/>
        <v>0</v>
      </c>
      <c r="BH1608" s="93">
        <f t="shared" si="109"/>
        <v>0</v>
      </c>
      <c r="BI1608" s="93">
        <f t="shared" si="110"/>
        <v>0</v>
      </c>
      <c r="BJ1608" s="93">
        <f t="shared" si="111"/>
        <v>0</v>
      </c>
      <c r="BK1608" s="93"/>
      <c r="BL1608" s="93"/>
      <c r="BW1608" s="93" t="str">
        <f t="shared" si="112"/>
        <v>21</v>
      </c>
      <c r="BX1608" s="2" t="s">
        <v>1801</v>
      </c>
    </row>
    <row r="1609" spans="1:76" s="81" customFormat="1" ht="25.5" x14ac:dyDescent="0.25">
      <c r="A1609" s="66" t="s">
        <v>1805</v>
      </c>
      <c r="B1609" s="72" t="s">
        <v>55</v>
      </c>
      <c r="C1609" s="72" t="s">
        <v>1803</v>
      </c>
      <c r="D1609" s="174" t="s">
        <v>1804</v>
      </c>
      <c r="E1609" s="174"/>
      <c r="F1609" s="72" t="s">
        <v>192</v>
      </c>
      <c r="G1609" s="90">
        <v>30</v>
      </c>
      <c r="H1609" s="91"/>
      <c r="I1609" s="92" t="s">
        <v>63</v>
      </c>
      <c r="J1609" s="90">
        <f t="shared" si="85"/>
        <v>0</v>
      </c>
      <c r="K1609" s="90">
        <f t="shared" si="86"/>
        <v>0</v>
      </c>
      <c r="L1609" s="90">
        <f t="shared" si="87"/>
        <v>0</v>
      </c>
      <c r="M1609" s="90">
        <f t="shared" si="88"/>
        <v>0</v>
      </c>
      <c r="N1609" s="90">
        <v>0</v>
      </c>
      <c r="O1609" s="90">
        <f t="shared" si="89"/>
        <v>0</v>
      </c>
      <c r="P1609" s="92" t="s">
        <v>1647</v>
      </c>
      <c r="Z1609" s="93">
        <f t="shared" si="90"/>
        <v>0</v>
      </c>
      <c r="AB1609" s="93">
        <f t="shared" si="91"/>
        <v>0</v>
      </c>
      <c r="AC1609" s="93">
        <f t="shared" si="92"/>
        <v>0</v>
      </c>
      <c r="AD1609" s="93">
        <f t="shared" si="93"/>
        <v>0</v>
      </c>
      <c r="AE1609" s="93">
        <f t="shared" si="94"/>
        <v>0</v>
      </c>
      <c r="AF1609" s="93">
        <f t="shared" si="95"/>
        <v>0</v>
      </c>
      <c r="AG1609" s="93">
        <f t="shared" si="96"/>
        <v>0</v>
      </c>
      <c r="AH1609" s="93">
        <f t="shared" si="97"/>
        <v>0</v>
      </c>
      <c r="AI1609" s="88" t="s">
        <v>55</v>
      </c>
      <c r="AJ1609" s="93">
        <f t="shared" si="98"/>
        <v>0</v>
      </c>
      <c r="AK1609" s="93">
        <f t="shared" si="99"/>
        <v>0</v>
      </c>
      <c r="AL1609" s="93">
        <f t="shared" si="100"/>
        <v>0</v>
      </c>
      <c r="AN1609" s="93">
        <v>21</v>
      </c>
      <c r="AO1609" s="93">
        <f t="shared" si="101"/>
        <v>0</v>
      </c>
      <c r="AP1609" s="93">
        <f t="shared" si="102"/>
        <v>0</v>
      </c>
      <c r="AQ1609" s="94" t="s">
        <v>148</v>
      </c>
      <c r="AV1609" s="93">
        <f t="shared" si="103"/>
        <v>0</v>
      </c>
      <c r="AW1609" s="93">
        <f t="shared" si="104"/>
        <v>0</v>
      </c>
      <c r="AX1609" s="93">
        <f t="shared" si="105"/>
        <v>0</v>
      </c>
      <c r="AY1609" s="94" t="s">
        <v>1792</v>
      </c>
      <c r="AZ1609" s="94" t="s">
        <v>1649</v>
      </c>
      <c r="BA1609" s="88" t="s">
        <v>67</v>
      </c>
      <c r="BC1609" s="93">
        <f t="shared" si="106"/>
        <v>0</v>
      </c>
      <c r="BD1609" s="93">
        <f t="shared" si="107"/>
        <v>0</v>
      </c>
      <c r="BE1609" s="93">
        <v>0</v>
      </c>
      <c r="BF1609" s="93">
        <f t="shared" si="108"/>
        <v>0</v>
      </c>
      <c r="BH1609" s="93">
        <f t="shared" si="109"/>
        <v>0</v>
      </c>
      <c r="BI1609" s="93">
        <f t="shared" si="110"/>
        <v>0</v>
      </c>
      <c r="BJ1609" s="93">
        <f t="shared" si="111"/>
        <v>0</v>
      </c>
      <c r="BK1609" s="93"/>
      <c r="BL1609" s="93"/>
      <c r="BW1609" s="93" t="str">
        <f t="shared" si="112"/>
        <v>21</v>
      </c>
      <c r="BX1609" s="2" t="s">
        <v>1804</v>
      </c>
    </row>
    <row r="1610" spans="1:76" s="81" customFormat="1" ht="25.5" x14ac:dyDescent="0.25">
      <c r="A1610" s="66" t="s">
        <v>1808</v>
      </c>
      <c r="B1610" s="72" t="s">
        <v>55</v>
      </c>
      <c r="C1610" s="72" t="s">
        <v>1806</v>
      </c>
      <c r="D1610" s="174" t="s">
        <v>1807</v>
      </c>
      <c r="E1610" s="174"/>
      <c r="F1610" s="72" t="s">
        <v>1671</v>
      </c>
      <c r="G1610" s="90">
        <v>17</v>
      </c>
      <c r="H1610" s="91"/>
      <c r="I1610" s="92" t="s">
        <v>63</v>
      </c>
      <c r="J1610" s="90">
        <f t="shared" si="85"/>
        <v>0</v>
      </c>
      <c r="K1610" s="90">
        <f t="shared" si="86"/>
        <v>0</v>
      </c>
      <c r="L1610" s="90">
        <f t="shared" si="87"/>
        <v>0</v>
      </c>
      <c r="M1610" s="90">
        <f t="shared" si="88"/>
        <v>0</v>
      </c>
      <c r="N1610" s="90">
        <v>0</v>
      </c>
      <c r="O1610" s="90">
        <f t="shared" si="89"/>
        <v>0</v>
      </c>
      <c r="P1610" s="92" t="s">
        <v>1647</v>
      </c>
      <c r="Z1610" s="93">
        <f t="shared" si="90"/>
        <v>0</v>
      </c>
      <c r="AB1610" s="93">
        <f t="shared" si="91"/>
        <v>0</v>
      </c>
      <c r="AC1610" s="93">
        <f t="shared" si="92"/>
        <v>0</v>
      </c>
      <c r="AD1610" s="93">
        <f t="shared" si="93"/>
        <v>0</v>
      </c>
      <c r="AE1610" s="93">
        <f t="shared" si="94"/>
        <v>0</v>
      </c>
      <c r="AF1610" s="93">
        <f t="shared" si="95"/>
        <v>0</v>
      </c>
      <c r="AG1610" s="93">
        <f t="shared" si="96"/>
        <v>0</v>
      </c>
      <c r="AH1610" s="93">
        <f t="shared" si="97"/>
        <v>0</v>
      </c>
      <c r="AI1610" s="88" t="s">
        <v>55</v>
      </c>
      <c r="AJ1610" s="93">
        <f t="shared" si="98"/>
        <v>0</v>
      </c>
      <c r="AK1610" s="93">
        <f t="shared" si="99"/>
        <v>0</v>
      </c>
      <c r="AL1610" s="93">
        <f t="shared" si="100"/>
        <v>0</v>
      </c>
      <c r="AN1610" s="93">
        <v>21</v>
      </c>
      <c r="AO1610" s="93">
        <f t="shared" si="101"/>
        <v>0</v>
      </c>
      <c r="AP1610" s="93">
        <f t="shared" si="102"/>
        <v>0</v>
      </c>
      <c r="AQ1610" s="94" t="s">
        <v>148</v>
      </c>
      <c r="AV1610" s="93">
        <f t="shared" si="103"/>
        <v>0</v>
      </c>
      <c r="AW1610" s="93">
        <f t="shared" si="104"/>
        <v>0</v>
      </c>
      <c r="AX1610" s="93">
        <f t="shared" si="105"/>
        <v>0</v>
      </c>
      <c r="AY1610" s="94" t="s">
        <v>1792</v>
      </c>
      <c r="AZ1610" s="94" t="s">
        <v>1649</v>
      </c>
      <c r="BA1610" s="88" t="s">
        <v>67</v>
      </c>
      <c r="BC1610" s="93">
        <f t="shared" si="106"/>
        <v>0</v>
      </c>
      <c r="BD1610" s="93">
        <f t="shared" si="107"/>
        <v>0</v>
      </c>
      <c r="BE1610" s="93">
        <v>0</v>
      </c>
      <c r="BF1610" s="93">
        <f t="shared" si="108"/>
        <v>0</v>
      </c>
      <c r="BH1610" s="93">
        <f t="shared" si="109"/>
        <v>0</v>
      </c>
      <c r="BI1610" s="93">
        <f t="shared" si="110"/>
        <v>0</v>
      </c>
      <c r="BJ1610" s="93">
        <f t="shared" si="111"/>
        <v>0</v>
      </c>
      <c r="BK1610" s="93"/>
      <c r="BL1610" s="93"/>
      <c r="BW1610" s="93" t="str">
        <f t="shared" si="112"/>
        <v>21</v>
      </c>
      <c r="BX1610" s="2" t="s">
        <v>1807</v>
      </c>
    </row>
    <row r="1611" spans="1:76" s="81" customFormat="1" ht="25.5" x14ac:dyDescent="0.25">
      <c r="A1611" s="66" t="s">
        <v>1812</v>
      </c>
      <c r="B1611" s="72" t="s">
        <v>55</v>
      </c>
      <c r="C1611" s="72" t="s">
        <v>1809</v>
      </c>
      <c r="D1611" s="174" t="s">
        <v>1710</v>
      </c>
      <c r="E1611" s="174"/>
      <c r="F1611" s="72" t="s">
        <v>1332</v>
      </c>
      <c r="G1611" s="90">
        <v>1</v>
      </c>
      <c r="H1611" s="91"/>
      <c r="I1611" s="92" t="s">
        <v>63</v>
      </c>
      <c r="J1611" s="90">
        <f t="shared" si="85"/>
        <v>0</v>
      </c>
      <c r="K1611" s="90">
        <f t="shared" si="86"/>
        <v>0</v>
      </c>
      <c r="L1611" s="90">
        <f t="shared" si="87"/>
        <v>0</v>
      </c>
      <c r="M1611" s="90">
        <f t="shared" si="88"/>
        <v>0</v>
      </c>
      <c r="N1611" s="90">
        <v>0</v>
      </c>
      <c r="O1611" s="90">
        <f t="shared" si="89"/>
        <v>0</v>
      </c>
      <c r="P1611" s="92" t="s">
        <v>1647</v>
      </c>
      <c r="Z1611" s="93">
        <f t="shared" si="90"/>
        <v>0</v>
      </c>
      <c r="AB1611" s="93">
        <f t="shared" si="91"/>
        <v>0</v>
      </c>
      <c r="AC1611" s="93">
        <f t="shared" si="92"/>
        <v>0</v>
      </c>
      <c r="AD1611" s="93">
        <f t="shared" si="93"/>
        <v>0</v>
      </c>
      <c r="AE1611" s="93">
        <f t="shared" si="94"/>
        <v>0</v>
      </c>
      <c r="AF1611" s="93">
        <f t="shared" si="95"/>
        <v>0</v>
      </c>
      <c r="AG1611" s="93">
        <f t="shared" si="96"/>
        <v>0</v>
      </c>
      <c r="AH1611" s="93">
        <f t="shared" si="97"/>
        <v>0</v>
      </c>
      <c r="AI1611" s="88" t="s">
        <v>55</v>
      </c>
      <c r="AJ1611" s="93">
        <f t="shared" si="98"/>
        <v>0</v>
      </c>
      <c r="AK1611" s="93">
        <f t="shared" si="99"/>
        <v>0</v>
      </c>
      <c r="AL1611" s="93">
        <f t="shared" si="100"/>
        <v>0</v>
      </c>
      <c r="AN1611" s="93">
        <v>21</v>
      </c>
      <c r="AO1611" s="93">
        <f t="shared" si="101"/>
        <v>0</v>
      </c>
      <c r="AP1611" s="93">
        <f t="shared" si="102"/>
        <v>0</v>
      </c>
      <c r="AQ1611" s="94" t="s">
        <v>148</v>
      </c>
      <c r="AV1611" s="93">
        <f t="shared" si="103"/>
        <v>0</v>
      </c>
      <c r="AW1611" s="93">
        <f t="shared" si="104"/>
        <v>0</v>
      </c>
      <c r="AX1611" s="93">
        <f t="shared" si="105"/>
        <v>0</v>
      </c>
      <c r="AY1611" s="94" t="s">
        <v>1792</v>
      </c>
      <c r="AZ1611" s="94" t="s">
        <v>1649</v>
      </c>
      <c r="BA1611" s="88" t="s">
        <v>67</v>
      </c>
      <c r="BC1611" s="93">
        <f t="shared" si="106"/>
        <v>0</v>
      </c>
      <c r="BD1611" s="93">
        <f t="shared" si="107"/>
        <v>0</v>
      </c>
      <c r="BE1611" s="93">
        <v>0</v>
      </c>
      <c r="BF1611" s="93">
        <f t="shared" si="108"/>
        <v>0</v>
      </c>
      <c r="BH1611" s="93">
        <f t="shared" si="109"/>
        <v>0</v>
      </c>
      <c r="BI1611" s="93">
        <f t="shared" si="110"/>
        <v>0</v>
      </c>
      <c r="BJ1611" s="93">
        <f t="shared" si="111"/>
        <v>0</v>
      </c>
      <c r="BK1611" s="93"/>
      <c r="BL1611" s="93"/>
      <c r="BW1611" s="93" t="str">
        <f t="shared" si="112"/>
        <v>21</v>
      </c>
      <c r="BX1611" s="2" t="s">
        <v>1710</v>
      </c>
    </row>
    <row r="1612" spans="1:76" s="81" customFormat="1" x14ac:dyDescent="0.25">
      <c r="A1612" s="109" t="s">
        <v>54</v>
      </c>
      <c r="B1612" s="74" t="s">
        <v>55</v>
      </c>
      <c r="C1612" s="74" t="s">
        <v>1810</v>
      </c>
      <c r="D1612" s="180" t="s">
        <v>1811</v>
      </c>
      <c r="E1612" s="180"/>
      <c r="F1612" s="85" t="s">
        <v>4</v>
      </c>
      <c r="G1612" s="85" t="s">
        <v>4</v>
      </c>
      <c r="H1612" s="98"/>
      <c r="I1612" s="85" t="s">
        <v>4</v>
      </c>
      <c r="J1612" s="86">
        <f>SUM(J1613:J1620)</f>
        <v>0</v>
      </c>
      <c r="K1612" s="86">
        <f>SUM(K1613:K1620)</f>
        <v>0</v>
      </c>
      <c r="L1612" s="86">
        <f>SUM(L1613:L1620)</f>
        <v>0</v>
      </c>
      <c r="M1612" s="86">
        <f>SUM(M1613:M1620)</f>
        <v>0</v>
      </c>
      <c r="N1612" s="87" t="s">
        <v>54</v>
      </c>
      <c r="O1612" s="86">
        <f>SUM(O1613:O1620)</f>
        <v>0</v>
      </c>
      <c r="P1612" s="87" t="s">
        <v>54</v>
      </c>
      <c r="AI1612" s="88" t="s">
        <v>55</v>
      </c>
      <c r="AS1612" s="89">
        <f>SUM(AJ1613:AJ1620)</f>
        <v>0</v>
      </c>
      <c r="AT1612" s="89">
        <f>SUM(AK1613:AK1620)</f>
        <v>0</v>
      </c>
      <c r="AU1612" s="89">
        <f>SUM(AL1613:AL1620)</f>
        <v>0</v>
      </c>
    </row>
    <row r="1613" spans="1:76" s="81" customFormat="1" ht="25.5" x14ac:dyDescent="0.25">
      <c r="A1613" s="66" t="s">
        <v>1816</v>
      </c>
      <c r="B1613" s="72" t="s">
        <v>55</v>
      </c>
      <c r="C1613" s="72" t="s">
        <v>1813</v>
      </c>
      <c r="D1613" s="174" t="s">
        <v>1814</v>
      </c>
      <c r="E1613" s="174"/>
      <c r="F1613" s="72" t="s">
        <v>203</v>
      </c>
      <c r="G1613" s="90">
        <v>1</v>
      </c>
      <c r="H1613" s="91"/>
      <c r="I1613" s="92" t="s">
        <v>63</v>
      </c>
      <c r="J1613" s="90">
        <f t="shared" ref="J1613:J1620" si="113">G1613*AO1613</f>
        <v>0</v>
      </c>
      <c r="K1613" s="90">
        <f t="shared" ref="K1613:K1620" si="114">G1613*AP1613</f>
        <v>0</v>
      </c>
      <c r="L1613" s="90">
        <f t="shared" ref="L1613:L1620" si="115">G1613*H1613</f>
        <v>0</v>
      </c>
      <c r="M1613" s="90">
        <f t="shared" ref="M1613:M1620" si="116">L1613*(1+BW1613/100)</f>
        <v>0</v>
      </c>
      <c r="N1613" s="90">
        <v>0</v>
      </c>
      <c r="O1613" s="90">
        <f t="shared" ref="O1613:O1620" si="117">G1613*N1613</f>
        <v>0</v>
      </c>
      <c r="P1613" s="92" t="s">
        <v>1647</v>
      </c>
      <c r="Z1613" s="93">
        <f t="shared" ref="Z1613:Z1620" si="118">IF(AQ1613="5",BJ1613,0)</f>
        <v>0</v>
      </c>
      <c r="AB1613" s="93">
        <f t="shared" ref="AB1613:AB1620" si="119">IF(AQ1613="1",BH1613,0)</f>
        <v>0</v>
      </c>
      <c r="AC1613" s="93">
        <f t="shared" ref="AC1613:AC1620" si="120">IF(AQ1613="1",BI1613,0)</f>
        <v>0</v>
      </c>
      <c r="AD1613" s="93">
        <f t="shared" ref="AD1613:AD1620" si="121">IF(AQ1613="7",BH1613,0)</f>
        <v>0</v>
      </c>
      <c r="AE1613" s="93">
        <f t="shared" ref="AE1613:AE1620" si="122">IF(AQ1613="7",BI1613,0)</f>
        <v>0</v>
      </c>
      <c r="AF1613" s="93">
        <f t="shared" ref="AF1613:AF1620" si="123">IF(AQ1613="2",BH1613,0)</f>
        <v>0</v>
      </c>
      <c r="AG1613" s="93">
        <f t="shared" ref="AG1613:AG1620" si="124">IF(AQ1613="2",BI1613,0)</f>
        <v>0</v>
      </c>
      <c r="AH1613" s="93">
        <f t="shared" ref="AH1613:AH1620" si="125">IF(AQ1613="0",BJ1613,0)</f>
        <v>0</v>
      </c>
      <c r="AI1613" s="88" t="s">
        <v>55</v>
      </c>
      <c r="AJ1613" s="93">
        <f t="shared" ref="AJ1613:AJ1620" si="126">IF(AN1613=0,L1613,0)</f>
        <v>0</v>
      </c>
      <c r="AK1613" s="93">
        <f t="shared" ref="AK1613:AK1620" si="127">IF(AN1613=12,L1613,0)</f>
        <v>0</v>
      </c>
      <c r="AL1613" s="93">
        <f t="shared" ref="AL1613:AL1620" si="128">IF(AN1613=21,L1613,0)</f>
        <v>0</v>
      </c>
      <c r="AN1613" s="93">
        <v>21</v>
      </c>
      <c r="AO1613" s="93">
        <f t="shared" ref="AO1613:AO1620" si="129">H1613*0</f>
        <v>0</v>
      </c>
      <c r="AP1613" s="93">
        <f t="shared" ref="AP1613:AP1620" si="130">H1613*(1-0)</f>
        <v>0</v>
      </c>
      <c r="AQ1613" s="94" t="s">
        <v>148</v>
      </c>
      <c r="AV1613" s="93">
        <f t="shared" ref="AV1613:AV1620" si="131">AW1613+AX1613</f>
        <v>0</v>
      </c>
      <c r="AW1613" s="93">
        <f t="shared" ref="AW1613:AW1620" si="132">G1613*AO1613</f>
        <v>0</v>
      </c>
      <c r="AX1613" s="93">
        <f t="shared" ref="AX1613:AX1620" si="133">G1613*AP1613</f>
        <v>0</v>
      </c>
      <c r="AY1613" s="94" t="s">
        <v>1815</v>
      </c>
      <c r="AZ1613" s="94" t="s">
        <v>1649</v>
      </c>
      <c r="BA1613" s="88" t="s">
        <v>67</v>
      </c>
      <c r="BC1613" s="93">
        <f t="shared" ref="BC1613:BC1620" si="134">AW1613+AX1613</f>
        <v>0</v>
      </c>
      <c r="BD1613" s="93">
        <f t="shared" ref="BD1613:BD1620" si="135">H1613/(100-BE1613)*100</f>
        <v>0</v>
      </c>
      <c r="BE1613" s="93">
        <v>0</v>
      </c>
      <c r="BF1613" s="93">
        <f t="shared" ref="BF1613:BF1620" si="136">O1613</f>
        <v>0</v>
      </c>
      <c r="BH1613" s="93">
        <f t="shared" ref="BH1613:BH1620" si="137">G1613*AO1613</f>
        <v>0</v>
      </c>
      <c r="BI1613" s="93">
        <f t="shared" ref="BI1613:BI1620" si="138">G1613*AP1613</f>
        <v>0</v>
      </c>
      <c r="BJ1613" s="93">
        <f t="shared" ref="BJ1613:BJ1620" si="139">G1613*H1613</f>
        <v>0</v>
      </c>
      <c r="BK1613" s="93"/>
      <c r="BL1613" s="93"/>
      <c r="BW1613" s="93" t="str">
        <f t="shared" ref="BW1613:BW1620" si="140">I1613</f>
        <v>21</v>
      </c>
      <c r="BX1613" s="2" t="s">
        <v>1814</v>
      </c>
    </row>
    <row r="1614" spans="1:76" s="81" customFormat="1" ht="25.5" x14ac:dyDescent="0.25">
      <c r="A1614" s="66" t="s">
        <v>1819</v>
      </c>
      <c r="B1614" s="72" t="s">
        <v>55</v>
      </c>
      <c r="C1614" s="72" t="s">
        <v>1817</v>
      </c>
      <c r="D1614" s="174" t="s">
        <v>1818</v>
      </c>
      <c r="E1614" s="174"/>
      <c r="F1614" s="72" t="s">
        <v>203</v>
      </c>
      <c r="G1614" s="90">
        <v>1</v>
      </c>
      <c r="H1614" s="91"/>
      <c r="I1614" s="92" t="s">
        <v>63</v>
      </c>
      <c r="J1614" s="90">
        <f t="shared" si="113"/>
        <v>0</v>
      </c>
      <c r="K1614" s="90">
        <f t="shared" si="114"/>
        <v>0</v>
      </c>
      <c r="L1614" s="90">
        <f t="shared" si="115"/>
        <v>0</v>
      </c>
      <c r="M1614" s="90">
        <f t="shared" si="116"/>
        <v>0</v>
      </c>
      <c r="N1614" s="90">
        <v>0</v>
      </c>
      <c r="O1614" s="90">
        <f t="shared" si="117"/>
        <v>0</v>
      </c>
      <c r="P1614" s="92" t="s">
        <v>1647</v>
      </c>
      <c r="Z1614" s="93">
        <f t="shared" si="118"/>
        <v>0</v>
      </c>
      <c r="AB1614" s="93">
        <f t="shared" si="119"/>
        <v>0</v>
      </c>
      <c r="AC1614" s="93">
        <f t="shared" si="120"/>
        <v>0</v>
      </c>
      <c r="AD1614" s="93">
        <f t="shared" si="121"/>
        <v>0</v>
      </c>
      <c r="AE1614" s="93">
        <f t="shared" si="122"/>
        <v>0</v>
      </c>
      <c r="AF1614" s="93">
        <f t="shared" si="123"/>
        <v>0</v>
      </c>
      <c r="AG1614" s="93">
        <f t="shared" si="124"/>
        <v>0</v>
      </c>
      <c r="AH1614" s="93">
        <f t="shared" si="125"/>
        <v>0</v>
      </c>
      <c r="AI1614" s="88" t="s">
        <v>55</v>
      </c>
      <c r="AJ1614" s="93">
        <f t="shared" si="126"/>
        <v>0</v>
      </c>
      <c r="AK1614" s="93">
        <f t="shared" si="127"/>
        <v>0</v>
      </c>
      <c r="AL1614" s="93">
        <f t="shared" si="128"/>
        <v>0</v>
      </c>
      <c r="AN1614" s="93">
        <v>21</v>
      </c>
      <c r="AO1614" s="93">
        <f t="shared" si="129"/>
        <v>0</v>
      </c>
      <c r="AP1614" s="93">
        <f t="shared" si="130"/>
        <v>0</v>
      </c>
      <c r="AQ1614" s="94" t="s">
        <v>148</v>
      </c>
      <c r="AV1614" s="93">
        <f t="shared" si="131"/>
        <v>0</v>
      </c>
      <c r="AW1614" s="93">
        <f t="shared" si="132"/>
        <v>0</v>
      </c>
      <c r="AX1614" s="93">
        <f t="shared" si="133"/>
        <v>0</v>
      </c>
      <c r="AY1614" s="94" t="s">
        <v>1815</v>
      </c>
      <c r="AZ1614" s="94" t="s">
        <v>1649</v>
      </c>
      <c r="BA1614" s="88" t="s">
        <v>67</v>
      </c>
      <c r="BC1614" s="93">
        <f t="shared" si="134"/>
        <v>0</v>
      </c>
      <c r="BD1614" s="93">
        <f t="shared" si="135"/>
        <v>0</v>
      </c>
      <c r="BE1614" s="93">
        <v>0</v>
      </c>
      <c r="BF1614" s="93">
        <f t="shared" si="136"/>
        <v>0</v>
      </c>
      <c r="BH1614" s="93">
        <f t="shared" si="137"/>
        <v>0</v>
      </c>
      <c r="BI1614" s="93">
        <f t="shared" si="138"/>
        <v>0</v>
      </c>
      <c r="BJ1614" s="93">
        <f t="shared" si="139"/>
        <v>0</v>
      </c>
      <c r="BK1614" s="93"/>
      <c r="BL1614" s="93"/>
      <c r="BW1614" s="93" t="str">
        <f t="shared" si="140"/>
        <v>21</v>
      </c>
      <c r="BX1614" s="2" t="s">
        <v>1818</v>
      </c>
    </row>
    <row r="1615" spans="1:76" s="81" customFormat="1" ht="25.5" x14ac:dyDescent="0.25">
      <c r="A1615" s="66" t="s">
        <v>1822</v>
      </c>
      <c r="B1615" s="72" t="s">
        <v>55</v>
      </c>
      <c r="C1615" s="72" t="s">
        <v>1820</v>
      </c>
      <c r="D1615" s="174" t="s">
        <v>1821</v>
      </c>
      <c r="E1615" s="174"/>
      <c r="F1615" s="72" t="s">
        <v>1671</v>
      </c>
      <c r="G1615" s="90">
        <v>2</v>
      </c>
      <c r="H1615" s="91"/>
      <c r="I1615" s="92" t="s">
        <v>63</v>
      </c>
      <c r="J1615" s="90">
        <f t="shared" si="113"/>
        <v>0</v>
      </c>
      <c r="K1615" s="90">
        <f t="shared" si="114"/>
        <v>0</v>
      </c>
      <c r="L1615" s="90">
        <f t="shared" si="115"/>
        <v>0</v>
      </c>
      <c r="M1615" s="90">
        <f t="shared" si="116"/>
        <v>0</v>
      </c>
      <c r="N1615" s="90">
        <v>0</v>
      </c>
      <c r="O1615" s="90">
        <f t="shared" si="117"/>
        <v>0</v>
      </c>
      <c r="P1615" s="92" t="s">
        <v>1647</v>
      </c>
      <c r="Z1615" s="93">
        <f t="shared" si="118"/>
        <v>0</v>
      </c>
      <c r="AB1615" s="93">
        <f t="shared" si="119"/>
        <v>0</v>
      </c>
      <c r="AC1615" s="93">
        <f t="shared" si="120"/>
        <v>0</v>
      </c>
      <c r="AD1615" s="93">
        <f t="shared" si="121"/>
        <v>0</v>
      </c>
      <c r="AE1615" s="93">
        <f t="shared" si="122"/>
        <v>0</v>
      </c>
      <c r="AF1615" s="93">
        <f t="shared" si="123"/>
        <v>0</v>
      </c>
      <c r="AG1615" s="93">
        <f t="shared" si="124"/>
        <v>0</v>
      </c>
      <c r="AH1615" s="93">
        <f t="shared" si="125"/>
        <v>0</v>
      </c>
      <c r="AI1615" s="88" t="s">
        <v>55</v>
      </c>
      <c r="AJ1615" s="93">
        <f t="shared" si="126"/>
        <v>0</v>
      </c>
      <c r="AK1615" s="93">
        <f t="shared" si="127"/>
        <v>0</v>
      </c>
      <c r="AL1615" s="93">
        <f t="shared" si="128"/>
        <v>0</v>
      </c>
      <c r="AN1615" s="93">
        <v>21</v>
      </c>
      <c r="AO1615" s="93">
        <f t="shared" si="129"/>
        <v>0</v>
      </c>
      <c r="AP1615" s="93">
        <f t="shared" si="130"/>
        <v>0</v>
      </c>
      <c r="AQ1615" s="94" t="s">
        <v>148</v>
      </c>
      <c r="AV1615" s="93">
        <f t="shared" si="131"/>
        <v>0</v>
      </c>
      <c r="AW1615" s="93">
        <f t="shared" si="132"/>
        <v>0</v>
      </c>
      <c r="AX1615" s="93">
        <f t="shared" si="133"/>
        <v>0</v>
      </c>
      <c r="AY1615" s="94" t="s">
        <v>1815</v>
      </c>
      <c r="AZ1615" s="94" t="s">
        <v>1649</v>
      </c>
      <c r="BA1615" s="88" t="s">
        <v>67</v>
      </c>
      <c r="BC1615" s="93">
        <f t="shared" si="134"/>
        <v>0</v>
      </c>
      <c r="BD1615" s="93">
        <f t="shared" si="135"/>
        <v>0</v>
      </c>
      <c r="BE1615" s="93">
        <v>0</v>
      </c>
      <c r="BF1615" s="93">
        <f t="shared" si="136"/>
        <v>0</v>
      </c>
      <c r="BH1615" s="93">
        <f t="shared" si="137"/>
        <v>0</v>
      </c>
      <c r="BI1615" s="93">
        <f t="shared" si="138"/>
        <v>0</v>
      </c>
      <c r="BJ1615" s="93">
        <f t="shared" si="139"/>
        <v>0</v>
      </c>
      <c r="BK1615" s="93"/>
      <c r="BL1615" s="93"/>
      <c r="BW1615" s="93" t="str">
        <f t="shared" si="140"/>
        <v>21</v>
      </c>
      <c r="BX1615" s="2" t="s">
        <v>1821</v>
      </c>
    </row>
    <row r="1616" spans="1:76" s="81" customFormat="1" ht="25.5" x14ac:dyDescent="0.25">
      <c r="A1616" s="66" t="s">
        <v>1824</v>
      </c>
      <c r="B1616" s="72" t="s">
        <v>55</v>
      </c>
      <c r="C1616" s="72" t="s">
        <v>1823</v>
      </c>
      <c r="D1616" s="174" t="s">
        <v>1778</v>
      </c>
      <c r="E1616" s="174"/>
      <c r="F1616" s="72" t="s">
        <v>1671</v>
      </c>
      <c r="G1616" s="90">
        <v>2</v>
      </c>
      <c r="H1616" s="91"/>
      <c r="I1616" s="92" t="s">
        <v>63</v>
      </c>
      <c r="J1616" s="90">
        <f t="shared" si="113"/>
        <v>0</v>
      </c>
      <c r="K1616" s="90">
        <f t="shared" si="114"/>
        <v>0</v>
      </c>
      <c r="L1616" s="90">
        <f t="shared" si="115"/>
        <v>0</v>
      </c>
      <c r="M1616" s="90">
        <f t="shared" si="116"/>
        <v>0</v>
      </c>
      <c r="N1616" s="90">
        <v>0</v>
      </c>
      <c r="O1616" s="90">
        <f t="shared" si="117"/>
        <v>0</v>
      </c>
      <c r="P1616" s="92" t="s">
        <v>1647</v>
      </c>
      <c r="Z1616" s="93">
        <f t="shared" si="118"/>
        <v>0</v>
      </c>
      <c r="AB1616" s="93">
        <f t="shared" si="119"/>
        <v>0</v>
      </c>
      <c r="AC1616" s="93">
        <f t="shared" si="120"/>
        <v>0</v>
      </c>
      <c r="AD1616" s="93">
        <f t="shared" si="121"/>
        <v>0</v>
      </c>
      <c r="AE1616" s="93">
        <f t="shared" si="122"/>
        <v>0</v>
      </c>
      <c r="AF1616" s="93">
        <f t="shared" si="123"/>
        <v>0</v>
      </c>
      <c r="AG1616" s="93">
        <f t="shared" si="124"/>
        <v>0</v>
      </c>
      <c r="AH1616" s="93">
        <f t="shared" si="125"/>
        <v>0</v>
      </c>
      <c r="AI1616" s="88" t="s">
        <v>55</v>
      </c>
      <c r="AJ1616" s="93">
        <f t="shared" si="126"/>
        <v>0</v>
      </c>
      <c r="AK1616" s="93">
        <f t="shared" si="127"/>
        <v>0</v>
      </c>
      <c r="AL1616" s="93">
        <f t="shared" si="128"/>
        <v>0</v>
      </c>
      <c r="AN1616" s="93">
        <v>21</v>
      </c>
      <c r="AO1616" s="93">
        <f t="shared" si="129"/>
        <v>0</v>
      </c>
      <c r="AP1616" s="93">
        <f t="shared" si="130"/>
        <v>0</v>
      </c>
      <c r="AQ1616" s="94" t="s">
        <v>148</v>
      </c>
      <c r="AV1616" s="93">
        <f t="shared" si="131"/>
        <v>0</v>
      </c>
      <c r="AW1616" s="93">
        <f t="shared" si="132"/>
        <v>0</v>
      </c>
      <c r="AX1616" s="93">
        <f t="shared" si="133"/>
        <v>0</v>
      </c>
      <c r="AY1616" s="94" t="s">
        <v>1815</v>
      </c>
      <c r="AZ1616" s="94" t="s">
        <v>1649</v>
      </c>
      <c r="BA1616" s="88" t="s">
        <v>67</v>
      </c>
      <c r="BC1616" s="93">
        <f t="shared" si="134"/>
        <v>0</v>
      </c>
      <c r="BD1616" s="93">
        <f t="shared" si="135"/>
        <v>0</v>
      </c>
      <c r="BE1616" s="93">
        <v>0</v>
      </c>
      <c r="BF1616" s="93">
        <f t="shared" si="136"/>
        <v>0</v>
      </c>
      <c r="BH1616" s="93">
        <f t="shared" si="137"/>
        <v>0</v>
      </c>
      <c r="BI1616" s="93">
        <f t="shared" si="138"/>
        <v>0</v>
      </c>
      <c r="BJ1616" s="93">
        <f t="shared" si="139"/>
        <v>0</v>
      </c>
      <c r="BK1616" s="93"/>
      <c r="BL1616" s="93"/>
      <c r="BW1616" s="93" t="str">
        <f t="shared" si="140"/>
        <v>21</v>
      </c>
      <c r="BX1616" s="2" t="s">
        <v>1778</v>
      </c>
    </row>
    <row r="1617" spans="1:76" s="81" customFormat="1" ht="25.5" x14ac:dyDescent="0.25">
      <c r="A1617" s="66" t="s">
        <v>1826</v>
      </c>
      <c r="B1617" s="72" t="s">
        <v>55</v>
      </c>
      <c r="C1617" s="72" t="s">
        <v>1825</v>
      </c>
      <c r="D1617" s="174" t="s">
        <v>1692</v>
      </c>
      <c r="E1617" s="174"/>
      <c r="F1617" s="72" t="s">
        <v>1671</v>
      </c>
      <c r="G1617" s="90">
        <v>1</v>
      </c>
      <c r="H1617" s="91"/>
      <c r="I1617" s="92" t="s">
        <v>63</v>
      </c>
      <c r="J1617" s="90">
        <f t="shared" si="113"/>
        <v>0</v>
      </c>
      <c r="K1617" s="90">
        <f t="shared" si="114"/>
        <v>0</v>
      </c>
      <c r="L1617" s="90">
        <f t="shared" si="115"/>
        <v>0</v>
      </c>
      <c r="M1617" s="90">
        <f t="shared" si="116"/>
        <v>0</v>
      </c>
      <c r="N1617" s="90">
        <v>0</v>
      </c>
      <c r="O1617" s="90">
        <f t="shared" si="117"/>
        <v>0</v>
      </c>
      <c r="P1617" s="92" t="s">
        <v>1647</v>
      </c>
      <c r="Z1617" s="93">
        <f t="shared" si="118"/>
        <v>0</v>
      </c>
      <c r="AB1617" s="93">
        <f t="shared" si="119"/>
        <v>0</v>
      </c>
      <c r="AC1617" s="93">
        <f t="shared" si="120"/>
        <v>0</v>
      </c>
      <c r="AD1617" s="93">
        <f t="shared" si="121"/>
        <v>0</v>
      </c>
      <c r="AE1617" s="93">
        <f t="shared" si="122"/>
        <v>0</v>
      </c>
      <c r="AF1617" s="93">
        <f t="shared" si="123"/>
        <v>0</v>
      </c>
      <c r="AG1617" s="93">
        <f t="shared" si="124"/>
        <v>0</v>
      </c>
      <c r="AH1617" s="93">
        <f t="shared" si="125"/>
        <v>0</v>
      </c>
      <c r="AI1617" s="88" t="s">
        <v>55</v>
      </c>
      <c r="AJ1617" s="93">
        <f t="shared" si="126"/>
        <v>0</v>
      </c>
      <c r="AK1617" s="93">
        <f t="shared" si="127"/>
        <v>0</v>
      </c>
      <c r="AL1617" s="93">
        <f t="shared" si="128"/>
        <v>0</v>
      </c>
      <c r="AN1617" s="93">
        <v>21</v>
      </c>
      <c r="AO1617" s="93">
        <f t="shared" si="129"/>
        <v>0</v>
      </c>
      <c r="AP1617" s="93">
        <f t="shared" si="130"/>
        <v>0</v>
      </c>
      <c r="AQ1617" s="94" t="s">
        <v>148</v>
      </c>
      <c r="AV1617" s="93">
        <f t="shared" si="131"/>
        <v>0</v>
      </c>
      <c r="AW1617" s="93">
        <f t="shared" si="132"/>
        <v>0</v>
      </c>
      <c r="AX1617" s="93">
        <f t="shared" si="133"/>
        <v>0</v>
      </c>
      <c r="AY1617" s="94" t="s">
        <v>1815</v>
      </c>
      <c r="AZ1617" s="94" t="s">
        <v>1649</v>
      </c>
      <c r="BA1617" s="88" t="s">
        <v>67</v>
      </c>
      <c r="BC1617" s="93">
        <f t="shared" si="134"/>
        <v>0</v>
      </c>
      <c r="BD1617" s="93">
        <f t="shared" si="135"/>
        <v>0</v>
      </c>
      <c r="BE1617" s="93">
        <v>0</v>
      </c>
      <c r="BF1617" s="93">
        <f t="shared" si="136"/>
        <v>0</v>
      </c>
      <c r="BH1617" s="93">
        <f t="shared" si="137"/>
        <v>0</v>
      </c>
      <c r="BI1617" s="93">
        <f t="shared" si="138"/>
        <v>0</v>
      </c>
      <c r="BJ1617" s="93">
        <f t="shared" si="139"/>
        <v>0</v>
      </c>
      <c r="BK1617" s="93"/>
      <c r="BL1617" s="93"/>
      <c r="BW1617" s="93" t="str">
        <f t="shared" si="140"/>
        <v>21</v>
      </c>
      <c r="BX1617" s="2" t="s">
        <v>1692</v>
      </c>
    </row>
    <row r="1618" spans="1:76" s="81" customFormat="1" ht="25.5" x14ac:dyDescent="0.25">
      <c r="A1618" s="66" t="s">
        <v>1829</v>
      </c>
      <c r="B1618" s="72" t="s">
        <v>55</v>
      </c>
      <c r="C1618" s="72" t="s">
        <v>1827</v>
      </c>
      <c r="D1618" s="174" t="s">
        <v>1828</v>
      </c>
      <c r="E1618" s="174"/>
      <c r="F1618" s="72" t="s">
        <v>192</v>
      </c>
      <c r="G1618" s="90">
        <v>2</v>
      </c>
      <c r="H1618" s="91"/>
      <c r="I1618" s="92" t="s">
        <v>63</v>
      </c>
      <c r="J1618" s="90">
        <f t="shared" si="113"/>
        <v>0</v>
      </c>
      <c r="K1618" s="90">
        <f t="shared" si="114"/>
        <v>0</v>
      </c>
      <c r="L1618" s="90">
        <f t="shared" si="115"/>
        <v>0</v>
      </c>
      <c r="M1618" s="90">
        <f t="shared" si="116"/>
        <v>0</v>
      </c>
      <c r="N1618" s="90">
        <v>0</v>
      </c>
      <c r="O1618" s="90">
        <f t="shared" si="117"/>
        <v>0</v>
      </c>
      <c r="P1618" s="92" t="s">
        <v>1647</v>
      </c>
      <c r="Z1618" s="93">
        <f t="shared" si="118"/>
        <v>0</v>
      </c>
      <c r="AB1618" s="93">
        <f t="shared" si="119"/>
        <v>0</v>
      </c>
      <c r="AC1618" s="93">
        <f t="shared" si="120"/>
        <v>0</v>
      </c>
      <c r="AD1618" s="93">
        <f t="shared" si="121"/>
        <v>0</v>
      </c>
      <c r="AE1618" s="93">
        <f t="shared" si="122"/>
        <v>0</v>
      </c>
      <c r="AF1618" s="93">
        <f t="shared" si="123"/>
        <v>0</v>
      </c>
      <c r="AG1618" s="93">
        <f t="shared" si="124"/>
        <v>0</v>
      </c>
      <c r="AH1618" s="93">
        <f t="shared" si="125"/>
        <v>0</v>
      </c>
      <c r="AI1618" s="88" t="s">
        <v>55</v>
      </c>
      <c r="AJ1618" s="93">
        <f t="shared" si="126"/>
        <v>0</v>
      </c>
      <c r="AK1618" s="93">
        <f t="shared" si="127"/>
        <v>0</v>
      </c>
      <c r="AL1618" s="93">
        <f t="shared" si="128"/>
        <v>0</v>
      </c>
      <c r="AN1618" s="93">
        <v>21</v>
      </c>
      <c r="AO1618" s="93">
        <f t="shared" si="129"/>
        <v>0</v>
      </c>
      <c r="AP1618" s="93">
        <f t="shared" si="130"/>
        <v>0</v>
      </c>
      <c r="AQ1618" s="94" t="s">
        <v>148</v>
      </c>
      <c r="AV1618" s="93">
        <f t="shared" si="131"/>
        <v>0</v>
      </c>
      <c r="AW1618" s="93">
        <f t="shared" si="132"/>
        <v>0</v>
      </c>
      <c r="AX1618" s="93">
        <f t="shared" si="133"/>
        <v>0</v>
      </c>
      <c r="AY1618" s="94" t="s">
        <v>1815</v>
      </c>
      <c r="AZ1618" s="94" t="s">
        <v>1649</v>
      </c>
      <c r="BA1618" s="88" t="s">
        <v>67</v>
      </c>
      <c r="BC1618" s="93">
        <f t="shared" si="134"/>
        <v>0</v>
      </c>
      <c r="BD1618" s="93">
        <f t="shared" si="135"/>
        <v>0</v>
      </c>
      <c r="BE1618" s="93">
        <v>0</v>
      </c>
      <c r="BF1618" s="93">
        <f t="shared" si="136"/>
        <v>0</v>
      </c>
      <c r="BH1618" s="93">
        <f t="shared" si="137"/>
        <v>0</v>
      </c>
      <c r="BI1618" s="93">
        <f t="shared" si="138"/>
        <v>0</v>
      </c>
      <c r="BJ1618" s="93">
        <f t="shared" si="139"/>
        <v>0</v>
      </c>
      <c r="BK1618" s="93"/>
      <c r="BL1618" s="93"/>
      <c r="BW1618" s="93" t="str">
        <f t="shared" si="140"/>
        <v>21</v>
      </c>
      <c r="BX1618" s="2" t="s">
        <v>1828</v>
      </c>
    </row>
    <row r="1619" spans="1:76" s="81" customFormat="1" ht="25.5" x14ac:dyDescent="0.25">
      <c r="A1619" s="66" t="s">
        <v>1832</v>
      </c>
      <c r="B1619" s="72" t="s">
        <v>55</v>
      </c>
      <c r="C1619" s="72" t="s">
        <v>1830</v>
      </c>
      <c r="D1619" s="174" t="s">
        <v>1831</v>
      </c>
      <c r="E1619" s="174"/>
      <c r="F1619" s="72" t="s">
        <v>203</v>
      </c>
      <c r="G1619" s="90">
        <v>1</v>
      </c>
      <c r="H1619" s="91"/>
      <c r="I1619" s="92" t="s">
        <v>63</v>
      </c>
      <c r="J1619" s="90">
        <f t="shared" si="113"/>
        <v>0</v>
      </c>
      <c r="K1619" s="90">
        <f t="shared" si="114"/>
        <v>0</v>
      </c>
      <c r="L1619" s="90">
        <f t="shared" si="115"/>
        <v>0</v>
      </c>
      <c r="M1619" s="90">
        <f t="shared" si="116"/>
        <v>0</v>
      </c>
      <c r="N1619" s="90">
        <v>0</v>
      </c>
      <c r="O1619" s="90">
        <f t="shared" si="117"/>
        <v>0</v>
      </c>
      <c r="P1619" s="92" t="s">
        <v>1647</v>
      </c>
      <c r="Z1619" s="93">
        <f t="shared" si="118"/>
        <v>0</v>
      </c>
      <c r="AB1619" s="93">
        <f t="shared" si="119"/>
        <v>0</v>
      </c>
      <c r="AC1619" s="93">
        <f t="shared" si="120"/>
        <v>0</v>
      </c>
      <c r="AD1619" s="93">
        <f t="shared" si="121"/>
        <v>0</v>
      </c>
      <c r="AE1619" s="93">
        <f t="shared" si="122"/>
        <v>0</v>
      </c>
      <c r="AF1619" s="93">
        <f t="shared" si="123"/>
        <v>0</v>
      </c>
      <c r="AG1619" s="93">
        <f t="shared" si="124"/>
        <v>0</v>
      </c>
      <c r="AH1619" s="93">
        <f t="shared" si="125"/>
        <v>0</v>
      </c>
      <c r="AI1619" s="88" t="s">
        <v>55</v>
      </c>
      <c r="AJ1619" s="93">
        <f t="shared" si="126"/>
        <v>0</v>
      </c>
      <c r="AK1619" s="93">
        <f t="shared" si="127"/>
        <v>0</v>
      </c>
      <c r="AL1619" s="93">
        <f t="shared" si="128"/>
        <v>0</v>
      </c>
      <c r="AN1619" s="93">
        <v>21</v>
      </c>
      <c r="AO1619" s="93">
        <f t="shared" si="129"/>
        <v>0</v>
      </c>
      <c r="AP1619" s="93">
        <f t="shared" si="130"/>
        <v>0</v>
      </c>
      <c r="AQ1619" s="94" t="s">
        <v>148</v>
      </c>
      <c r="AV1619" s="93">
        <f t="shared" si="131"/>
        <v>0</v>
      </c>
      <c r="AW1619" s="93">
        <f t="shared" si="132"/>
        <v>0</v>
      </c>
      <c r="AX1619" s="93">
        <f t="shared" si="133"/>
        <v>0</v>
      </c>
      <c r="AY1619" s="94" t="s">
        <v>1815</v>
      </c>
      <c r="AZ1619" s="94" t="s">
        <v>1649</v>
      </c>
      <c r="BA1619" s="88" t="s">
        <v>67</v>
      </c>
      <c r="BC1619" s="93">
        <f t="shared" si="134"/>
        <v>0</v>
      </c>
      <c r="BD1619" s="93">
        <f t="shared" si="135"/>
        <v>0</v>
      </c>
      <c r="BE1619" s="93">
        <v>0</v>
      </c>
      <c r="BF1619" s="93">
        <f t="shared" si="136"/>
        <v>0</v>
      </c>
      <c r="BH1619" s="93">
        <f t="shared" si="137"/>
        <v>0</v>
      </c>
      <c r="BI1619" s="93">
        <f t="shared" si="138"/>
        <v>0</v>
      </c>
      <c r="BJ1619" s="93">
        <f t="shared" si="139"/>
        <v>0</v>
      </c>
      <c r="BK1619" s="93"/>
      <c r="BL1619" s="93"/>
      <c r="BW1619" s="93" t="str">
        <f t="shared" si="140"/>
        <v>21</v>
      </c>
      <c r="BX1619" s="2" t="s">
        <v>1831</v>
      </c>
    </row>
    <row r="1620" spans="1:76" s="81" customFormat="1" ht="25.5" x14ac:dyDescent="0.25">
      <c r="A1620" s="66" t="s">
        <v>1836</v>
      </c>
      <c r="B1620" s="72" t="s">
        <v>55</v>
      </c>
      <c r="C1620" s="72" t="s">
        <v>1833</v>
      </c>
      <c r="D1620" s="174" t="s">
        <v>1710</v>
      </c>
      <c r="E1620" s="174"/>
      <c r="F1620" s="72" t="s">
        <v>1332</v>
      </c>
      <c r="G1620" s="90">
        <v>1</v>
      </c>
      <c r="H1620" s="91"/>
      <c r="I1620" s="92" t="s">
        <v>63</v>
      </c>
      <c r="J1620" s="90">
        <f t="shared" si="113"/>
        <v>0</v>
      </c>
      <c r="K1620" s="90">
        <f t="shared" si="114"/>
        <v>0</v>
      </c>
      <c r="L1620" s="90">
        <f t="shared" si="115"/>
        <v>0</v>
      </c>
      <c r="M1620" s="90">
        <f t="shared" si="116"/>
        <v>0</v>
      </c>
      <c r="N1620" s="90">
        <v>0</v>
      </c>
      <c r="O1620" s="90">
        <f t="shared" si="117"/>
        <v>0</v>
      </c>
      <c r="P1620" s="92" t="s">
        <v>1647</v>
      </c>
      <c r="Z1620" s="93">
        <f t="shared" si="118"/>
        <v>0</v>
      </c>
      <c r="AB1620" s="93">
        <f t="shared" si="119"/>
        <v>0</v>
      </c>
      <c r="AC1620" s="93">
        <f t="shared" si="120"/>
        <v>0</v>
      </c>
      <c r="AD1620" s="93">
        <f t="shared" si="121"/>
        <v>0</v>
      </c>
      <c r="AE1620" s="93">
        <f t="shared" si="122"/>
        <v>0</v>
      </c>
      <c r="AF1620" s="93">
        <f t="shared" si="123"/>
        <v>0</v>
      </c>
      <c r="AG1620" s="93">
        <f t="shared" si="124"/>
        <v>0</v>
      </c>
      <c r="AH1620" s="93">
        <f t="shared" si="125"/>
        <v>0</v>
      </c>
      <c r="AI1620" s="88" t="s">
        <v>55</v>
      </c>
      <c r="AJ1620" s="93">
        <f t="shared" si="126"/>
        <v>0</v>
      </c>
      <c r="AK1620" s="93">
        <f t="shared" si="127"/>
        <v>0</v>
      </c>
      <c r="AL1620" s="93">
        <f t="shared" si="128"/>
        <v>0</v>
      </c>
      <c r="AN1620" s="93">
        <v>21</v>
      </c>
      <c r="AO1620" s="93">
        <f t="shared" si="129"/>
        <v>0</v>
      </c>
      <c r="AP1620" s="93">
        <f t="shared" si="130"/>
        <v>0</v>
      </c>
      <c r="AQ1620" s="94" t="s">
        <v>148</v>
      </c>
      <c r="AV1620" s="93">
        <f t="shared" si="131"/>
        <v>0</v>
      </c>
      <c r="AW1620" s="93">
        <f t="shared" si="132"/>
        <v>0</v>
      </c>
      <c r="AX1620" s="93">
        <f t="shared" si="133"/>
        <v>0</v>
      </c>
      <c r="AY1620" s="94" t="s">
        <v>1815</v>
      </c>
      <c r="AZ1620" s="94" t="s">
        <v>1649</v>
      </c>
      <c r="BA1620" s="88" t="s">
        <v>67</v>
      </c>
      <c r="BC1620" s="93">
        <f t="shared" si="134"/>
        <v>0</v>
      </c>
      <c r="BD1620" s="93">
        <f t="shared" si="135"/>
        <v>0</v>
      </c>
      <c r="BE1620" s="93">
        <v>0</v>
      </c>
      <c r="BF1620" s="93">
        <f t="shared" si="136"/>
        <v>0</v>
      </c>
      <c r="BH1620" s="93">
        <f t="shared" si="137"/>
        <v>0</v>
      </c>
      <c r="BI1620" s="93">
        <f t="shared" si="138"/>
        <v>0</v>
      </c>
      <c r="BJ1620" s="93">
        <f t="shared" si="139"/>
        <v>0</v>
      </c>
      <c r="BK1620" s="93"/>
      <c r="BL1620" s="93"/>
      <c r="BW1620" s="93" t="str">
        <f t="shared" si="140"/>
        <v>21</v>
      </c>
      <c r="BX1620" s="2" t="s">
        <v>1710</v>
      </c>
    </row>
    <row r="1621" spans="1:76" s="81" customFormat="1" x14ac:dyDescent="0.25">
      <c r="A1621" s="109" t="s">
        <v>54</v>
      </c>
      <c r="B1621" s="74" t="s">
        <v>55</v>
      </c>
      <c r="C1621" s="74" t="s">
        <v>1834</v>
      </c>
      <c r="D1621" s="180" t="s">
        <v>1835</v>
      </c>
      <c r="E1621" s="180"/>
      <c r="F1621" s="85" t="s">
        <v>4</v>
      </c>
      <c r="G1621" s="85" t="s">
        <v>4</v>
      </c>
      <c r="H1621" s="98"/>
      <c r="I1621" s="85" t="s">
        <v>4</v>
      </c>
      <c r="J1621" s="86">
        <f>SUM(J1622:J1634)</f>
        <v>0</v>
      </c>
      <c r="K1621" s="86">
        <f>SUM(K1622:K1634)</f>
        <v>0</v>
      </c>
      <c r="L1621" s="86">
        <f>SUM(L1622:L1634)</f>
        <v>0</v>
      </c>
      <c r="M1621" s="86">
        <f>SUM(M1622:M1634)</f>
        <v>0</v>
      </c>
      <c r="N1621" s="87" t="s">
        <v>54</v>
      </c>
      <c r="O1621" s="86">
        <f>SUM(O1622:O1634)</f>
        <v>0</v>
      </c>
      <c r="P1621" s="87" t="s">
        <v>54</v>
      </c>
      <c r="AI1621" s="88" t="s">
        <v>55</v>
      </c>
      <c r="AS1621" s="89">
        <f>SUM(AJ1622:AJ1634)</f>
        <v>0</v>
      </c>
      <c r="AT1621" s="89">
        <f>SUM(AK1622:AK1634)</f>
        <v>0</v>
      </c>
      <c r="AU1621" s="89">
        <f>SUM(AL1622:AL1634)</f>
        <v>0</v>
      </c>
    </row>
    <row r="1622" spans="1:76" s="81" customFormat="1" ht="25.5" x14ac:dyDescent="0.25">
      <c r="A1622" s="66" t="s">
        <v>1840</v>
      </c>
      <c r="B1622" s="72" t="s">
        <v>55</v>
      </c>
      <c r="C1622" s="72" t="s">
        <v>1837</v>
      </c>
      <c r="D1622" s="174" t="s">
        <v>1838</v>
      </c>
      <c r="E1622" s="174"/>
      <c r="F1622" s="72" t="s">
        <v>203</v>
      </c>
      <c r="G1622" s="90">
        <v>6</v>
      </c>
      <c r="H1622" s="91"/>
      <c r="I1622" s="92" t="s">
        <v>63</v>
      </c>
      <c r="J1622" s="90">
        <f t="shared" ref="J1622:J1634" si="141">G1622*AO1622</f>
        <v>0</v>
      </c>
      <c r="K1622" s="90">
        <f t="shared" ref="K1622:K1634" si="142">G1622*AP1622</f>
        <v>0</v>
      </c>
      <c r="L1622" s="90">
        <f t="shared" ref="L1622:L1634" si="143">G1622*H1622</f>
        <v>0</v>
      </c>
      <c r="M1622" s="90">
        <f t="shared" ref="M1622:M1634" si="144">L1622*(1+BW1622/100)</f>
        <v>0</v>
      </c>
      <c r="N1622" s="90">
        <v>0</v>
      </c>
      <c r="O1622" s="90">
        <f t="shared" ref="O1622:O1634" si="145">G1622*N1622</f>
        <v>0</v>
      </c>
      <c r="P1622" s="92" t="s">
        <v>1647</v>
      </c>
      <c r="Z1622" s="93">
        <f t="shared" ref="Z1622:Z1634" si="146">IF(AQ1622="5",BJ1622,0)</f>
        <v>0</v>
      </c>
      <c r="AB1622" s="93">
        <f t="shared" ref="AB1622:AB1634" si="147">IF(AQ1622="1",BH1622,0)</f>
        <v>0</v>
      </c>
      <c r="AC1622" s="93">
        <f t="shared" ref="AC1622:AC1634" si="148">IF(AQ1622="1",BI1622,0)</f>
        <v>0</v>
      </c>
      <c r="AD1622" s="93">
        <f t="shared" ref="AD1622:AD1634" si="149">IF(AQ1622="7",BH1622,0)</f>
        <v>0</v>
      </c>
      <c r="AE1622" s="93">
        <f t="shared" ref="AE1622:AE1634" si="150">IF(AQ1622="7",BI1622,0)</f>
        <v>0</v>
      </c>
      <c r="AF1622" s="93">
        <f t="shared" ref="AF1622:AF1634" si="151">IF(AQ1622="2",BH1622,0)</f>
        <v>0</v>
      </c>
      <c r="AG1622" s="93">
        <f t="shared" ref="AG1622:AG1634" si="152">IF(AQ1622="2",BI1622,0)</f>
        <v>0</v>
      </c>
      <c r="AH1622" s="93">
        <f t="shared" ref="AH1622:AH1634" si="153">IF(AQ1622="0",BJ1622,0)</f>
        <v>0</v>
      </c>
      <c r="AI1622" s="88" t="s">
        <v>55</v>
      </c>
      <c r="AJ1622" s="93">
        <f t="shared" ref="AJ1622:AJ1634" si="154">IF(AN1622=0,L1622,0)</f>
        <v>0</v>
      </c>
      <c r="AK1622" s="93">
        <f t="shared" ref="AK1622:AK1634" si="155">IF(AN1622=12,L1622,0)</f>
        <v>0</v>
      </c>
      <c r="AL1622" s="93">
        <f t="shared" ref="AL1622:AL1634" si="156">IF(AN1622=21,L1622,0)</f>
        <v>0</v>
      </c>
      <c r="AN1622" s="93">
        <v>21</v>
      </c>
      <c r="AO1622" s="93">
        <f t="shared" ref="AO1622:AO1634" si="157">H1622*0</f>
        <v>0</v>
      </c>
      <c r="AP1622" s="93">
        <f t="shared" ref="AP1622:AP1634" si="158">H1622*(1-0)</f>
        <v>0</v>
      </c>
      <c r="AQ1622" s="94" t="s">
        <v>148</v>
      </c>
      <c r="AV1622" s="93">
        <f t="shared" ref="AV1622:AV1634" si="159">AW1622+AX1622</f>
        <v>0</v>
      </c>
      <c r="AW1622" s="93">
        <f t="shared" ref="AW1622:AW1634" si="160">G1622*AO1622</f>
        <v>0</v>
      </c>
      <c r="AX1622" s="93">
        <f t="shared" ref="AX1622:AX1634" si="161">G1622*AP1622</f>
        <v>0</v>
      </c>
      <c r="AY1622" s="94" t="s">
        <v>1839</v>
      </c>
      <c r="AZ1622" s="94" t="s">
        <v>1649</v>
      </c>
      <c r="BA1622" s="88" t="s">
        <v>67</v>
      </c>
      <c r="BC1622" s="93">
        <f t="shared" ref="BC1622:BC1634" si="162">AW1622+AX1622</f>
        <v>0</v>
      </c>
      <c r="BD1622" s="93">
        <f t="shared" ref="BD1622:BD1634" si="163">H1622/(100-BE1622)*100</f>
        <v>0</v>
      </c>
      <c r="BE1622" s="93">
        <v>0</v>
      </c>
      <c r="BF1622" s="93">
        <f t="shared" ref="BF1622:BF1634" si="164">O1622</f>
        <v>0</v>
      </c>
      <c r="BH1622" s="93">
        <f t="shared" ref="BH1622:BH1634" si="165">G1622*AO1622</f>
        <v>0</v>
      </c>
      <c r="BI1622" s="93">
        <f t="shared" ref="BI1622:BI1634" si="166">G1622*AP1622</f>
        <v>0</v>
      </c>
      <c r="BJ1622" s="93">
        <f t="shared" ref="BJ1622:BJ1634" si="167">G1622*H1622</f>
        <v>0</v>
      </c>
      <c r="BK1622" s="93"/>
      <c r="BL1622" s="93"/>
      <c r="BW1622" s="93" t="str">
        <f t="shared" ref="BW1622:BW1634" si="168">I1622</f>
        <v>21</v>
      </c>
      <c r="BX1622" s="2" t="s">
        <v>1838</v>
      </c>
    </row>
    <row r="1623" spans="1:76" s="81" customFormat="1" ht="25.5" x14ac:dyDescent="0.25">
      <c r="A1623" s="66" t="s">
        <v>1842</v>
      </c>
      <c r="B1623" s="72" t="s">
        <v>55</v>
      </c>
      <c r="C1623" s="72" t="s">
        <v>1841</v>
      </c>
      <c r="D1623" s="174" t="s">
        <v>1655</v>
      </c>
      <c r="E1623" s="174"/>
      <c r="F1623" s="72" t="s">
        <v>203</v>
      </c>
      <c r="G1623" s="90">
        <v>1</v>
      </c>
      <c r="H1623" s="91"/>
      <c r="I1623" s="92" t="s">
        <v>63</v>
      </c>
      <c r="J1623" s="90">
        <f t="shared" si="141"/>
        <v>0</v>
      </c>
      <c r="K1623" s="90">
        <f t="shared" si="142"/>
        <v>0</v>
      </c>
      <c r="L1623" s="90">
        <f t="shared" si="143"/>
        <v>0</v>
      </c>
      <c r="M1623" s="90">
        <f t="shared" si="144"/>
        <v>0</v>
      </c>
      <c r="N1623" s="90">
        <v>0</v>
      </c>
      <c r="O1623" s="90">
        <f t="shared" si="145"/>
        <v>0</v>
      </c>
      <c r="P1623" s="92" t="s">
        <v>1647</v>
      </c>
      <c r="Z1623" s="93">
        <f t="shared" si="146"/>
        <v>0</v>
      </c>
      <c r="AB1623" s="93">
        <f t="shared" si="147"/>
        <v>0</v>
      </c>
      <c r="AC1623" s="93">
        <f t="shared" si="148"/>
        <v>0</v>
      </c>
      <c r="AD1623" s="93">
        <f t="shared" si="149"/>
        <v>0</v>
      </c>
      <c r="AE1623" s="93">
        <f t="shared" si="150"/>
        <v>0</v>
      </c>
      <c r="AF1623" s="93">
        <f t="shared" si="151"/>
        <v>0</v>
      </c>
      <c r="AG1623" s="93">
        <f t="shared" si="152"/>
        <v>0</v>
      </c>
      <c r="AH1623" s="93">
        <f t="shared" si="153"/>
        <v>0</v>
      </c>
      <c r="AI1623" s="88" t="s">
        <v>55</v>
      </c>
      <c r="AJ1623" s="93">
        <f t="shared" si="154"/>
        <v>0</v>
      </c>
      <c r="AK1623" s="93">
        <f t="shared" si="155"/>
        <v>0</v>
      </c>
      <c r="AL1623" s="93">
        <f t="shared" si="156"/>
        <v>0</v>
      </c>
      <c r="AN1623" s="93">
        <v>21</v>
      </c>
      <c r="AO1623" s="93">
        <f t="shared" si="157"/>
        <v>0</v>
      </c>
      <c r="AP1623" s="93">
        <f t="shared" si="158"/>
        <v>0</v>
      </c>
      <c r="AQ1623" s="94" t="s">
        <v>148</v>
      </c>
      <c r="AV1623" s="93">
        <f t="shared" si="159"/>
        <v>0</v>
      </c>
      <c r="AW1623" s="93">
        <f t="shared" si="160"/>
        <v>0</v>
      </c>
      <c r="AX1623" s="93">
        <f t="shared" si="161"/>
        <v>0</v>
      </c>
      <c r="AY1623" s="94" t="s">
        <v>1839</v>
      </c>
      <c r="AZ1623" s="94" t="s">
        <v>1649</v>
      </c>
      <c r="BA1623" s="88" t="s">
        <v>67</v>
      </c>
      <c r="BC1623" s="93">
        <f t="shared" si="162"/>
        <v>0</v>
      </c>
      <c r="BD1623" s="93">
        <f t="shared" si="163"/>
        <v>0</v>
      </c>
      <c r="BE1623" s="93">
        <v>0</v>
      </c>
      <c r="BF1623" s="93">
        <f t="shared" si="164"/>
        <v>0</v>
      </c>
      <c r="BH1623" s="93">
        <f t="shared" si="165"/>
        <v>0</v>
      </c>
      <c r="BI1623" s="93">
        <f t="shared" si="166"/>
        <v>0</v>
      </c>
      <c r="BJ1623" s="93">
        <f t="shared" si="167"/>
        <v>0</v>
      </c>
      <c r="BK1623" s="93"/>
      <c r="BL1623" s="93"/>
      <c r="BW1623" s="93" t="str">
        <f t="shared" si="168"/>
        <v>21</v>
      </c>
      <c r="BX1623" s="2" t="s">
        <v>1655</v>
      </c>
    </row>
    <row r="1624" spans="1:76" s="81" customFormat="1" ht="25.5" x14ac:dyDescent="0.25">
      <c r="A1624" s="66" t="s">
        <v>1845</v>
      </c>
      <c r="B1624" s="72" t="s">
        <v>55</v>
      </c>
      <c r="C1624" s="72" t="s">
        <v>1843</v>
      </c>
      <c r="D1624" s="174" t="s">
        <v>1844</v>
      </c>
      <c r="E1624" s="174"/>
      <c r="F1624" s="72" t="s">
        <v>203</v>
      </c>
      <c r="G1624" s="90">
        <v>5</v>
      </c>
      <c r="H1624" s="91"/>
      <c r="I1624" s="92" t="s">
        <v>63</v>
      </c>
      <c r="J1624" s="90">
        <f t="shared" si="141"/>
        <v>0</v>
      </c>
      <c r="K1624" s="90">
        <f t="shared" si="142"/>
        <v>0</v>
      </c>
      <c r="L1624" s="90">
        <f t="shared" si="143"/>
        <v>0</v>
      </c>
      <c r="M1624" s="90">
        <f t="shared" si="144"/>
        <v>0</v>
      </c>
      <c r="N1624" s="90">
        <v>0</v>
      </c>
      <c r="O1624" s="90">
        <f t="shared" si="145"/>
        <v>0</v>
      </c>
      <c r="P1624" s="92" t="s">
        <v>1647</v>
      </c>
      <c r="Z1624" s="93">
        <f t="shared" si="146"/>
        <v>0</v>
      </c>
      <c r="AB1624" s="93">
        <f t="shared" si="147"/>
        <v>0</v>
      </c>
      <c r="AC1624" s="93">
        <f t="shared" si="148"/>
        <v>0</v>
      </c>
      <c r="AD1624" s="93">
        <f t="shared" si="149"/>
        <v>0</v>
      </c>
      <c r="AE1624" s="93">
        <f t="shared" si="150"/>
        <v>0</v>
      </c>
      <c r="AF1624" s="93">
        <f t="shared" si="151"/>
        <v>0</v>
      </c>
      <c r="AG1624" s="93">
        <f t="shared" si="152"/>
        <v>0</v>
      </c>
      <c r="AH1624" s="93">
        <f t="shared" si="153"/>
        <v>0</v>
      </c>
      <c r="AI1624" s="88" t="s">
        <v>55</v>
      </c>
      <c r="AJ1624" s="93">
        <f t="shared" si="154"/>
        <v>0</v>
      </c>
      <c r="AK1624" s="93">
        <f t="shared" si="155"/>
        <v>0</v>
      </c>
      <c r="AL1624" s="93">
        <f t="shared" si="156"/>
        <v>0</v>
      </c>
      <c r="AN1624" s="93">
        <v>21</v>
      </c>
      <c r="AO1624" s="93">
        <f t="shared" si="157"/>
        <v>0</v>
      </c>
      <c r="AP1624" s="93">
        <f t="shared" si="158"/>
        <v>0</v>
      </c>
      <c r="AQ1624" s="94" t="s">
        <v>148</v>
      </c>
      <c r="AV1624" s="93">
        <f t="shared" si="159"/>
        <v>0</v>
      </c>
      <c r="AW1624" s="93">
        <f t="shared" si="160"/>
        <v>0</v>
      </c>
      <c r="AX1624" s="93">
        <f t="shared" si="161"/>
        <v>0</v>
      </c>
      <c r="AY1624" s="94" t="s">
        <v>1839</v>
      </c>
      <c r="AZ1624" s="94" t="s">
        <v>1649</v>
      </c>
      <c r="BA1624" s="88" t="s">
        <v>67</v>
      </c>
      <c r="BC1624" s="93">
        <f t="shared" si="162"/>
        <v>0</v>
      </c>
      <c r="BD1624" s="93">
        <f t="shared" si="163"/>
        <v>0</v>
      </c>
      <c r="BE1624" s="93">
        <v>0</v>
      </c>
      <c r="BF1624" s="93">
        <f t="shared" si="164"/>
        <v>0</v>
      </c>
      <c r="BH1624" s="93">
        <f t="shared" si="165"/>
        <v>0</v>
      </c>
      <c r="BI1624" s="93">
        <f t="shared" si="166"/>
        <v>0</v>
      </c>
      <c r="BJ1624" s="93">
        <f t="shared" si="167"/>
        <v>0</v>
      </c>
      <c r="BK1624" s="93"/>
      <c r="BL1624" s="93"/>
      <c r="BW1624" s="93" t="str">
        <f t="shared" si="168"/>
        <v>21</v>
      </c>
      <c r="BX1624" s="2" t="s">
        <v>1844</v>
      </c>
    </row>
    <row r="1625" spans="1:76" s="81" customFormat="1" ht="25.5" x14ac:dyDescent="0.25">
      <c r="A1625" s="66" t="s">
        <v>1847</v>
      </c>
      <c r="B1625" s="72" t="s">
        <v>55</v>
      </c>
      <c r="C1625" s="72" t="s">
        <v>1846</v>
      </c>
      <c r="D1625" s="174" t="s">
        <v>1661</v>
      </c>
      <c r="E1625" s="174"/>
      <c r="F1625" s="72" t="s">
        <v>203</v>
      </c>
      <c r="G1625" s="90">
        <v>6</v>
      </c>
      <c r="H1625" s="91"/>
      <c r="I1625" s="92" t="s">
        <v>63</v>
      </c>
      <c r="J1625" s="90">
        <f t="shared" si="141"/>
        <v>0</v>
      </c>
      <c r="K1625" s="90">
        <f t="shared" si="142"/>
        <v>0</v>
      </c>
      <c r="L1625" s="90">
        <f t="shared" si="143"/>
        <v>0</v>
      </c>
      <c r="M1625" s="90">
        <f t="shared" si="144"/>
        <v>0</v>
      </c>
      <c r="N1625" s="90">
        <v>0</v>
      </c>
      <c r="O1625" s="90">
        <f t="shared" si="145"/>
        <v>0</v>
      </c>
      <c r="P1625" s="92" t="s">
        <v>1647</v>
      </c>
      <c r="Z1625" s="93">
        <f t="shared" si="146"/>
        <v>0</v>
      </c>
      <c r="AB1625" s="93">
        <f t="shared" si="147"/>
        <v>0</v>
      </c>
      <c r="AC1625" s="93">
        <f t="shared" si="148"/>
        <v>0</v>
      </c>
      <c r="AD1625" s="93">
        <f t="shared" si="149"/>
        <v>0</v>
      </c>
      <c r="AE1625" s="93">
        <f t="shared" si="150"/>
        <v>0</v>
      </c>
      <c r="AF1625" s="93">
        <f t="shared" si="151"/>
        <v>0</v>
      </c>
      <c r="AG1625" s="93">
        <f t="shared" si="152"/>
        <v>0</v>
      </c>
      <c r="AH1625" s="93">
        <f t="shared" si="153"/>
        <v>0</v>
      </c>
      <c r="AI1625" s="88" t="s">
        <v>55</v>
      </c>
      <c r="AJ1625" s="93">
        <f t="shared" si="154"/>
        <v>0</v>
      </c>
      <c r="AK1625" s="93">
        <f t="shared" si="155"/>
        <v>0</v>
      </c>
      <c r="AL1625" s="93">
        <f t="shared" si="156"/>
        <v>0</v>
      </c>
      <c r="AN1625" s="93">
        <v>21</v>
      </c>
      <c r="AO1625" s="93">
        <f t="shared" si="157"/>
        <v>0</v>
      </c>
      <c r="AP1625" s="93">
        <f t="shared" si="158"/>
        <v>0</v>
      </c>
      <c r="AQ1625" s="94" t="s">
        <v>148</v>
      </c>
      <c r="AV1625" s="93">
        <f t="shared" si="159"/>
        <v>0</v>
      </c>
      <c r="AW1625" s="93">
        <f t="shared" si="160"/>
        <v>0</v>
      </c>
      <c r="AX1625" s="93">
        <f t="shared" si="161"/>
        <v>0</v>
      </c>
      <c r="AY1625" s="94" t="s">
        <v>1839</v>
      </c>
      <c r="AZ1625" s="94" t="s">
        <v>1649</v>
      </c>
      <c r="BA1625" s="88" t="s">
        <v>67</v>
      </c>
      <c r="BC1625" s="93">
        <f t="shared" si="162"/>
        <v>0</v>
      </c>
      <c r="BD1625" s="93">
        <f t="shared" si="163"/>
        <v>0</v>
      </c>
      <c r="BE1625" s="93">
        <v>0</v>
      </c>
      <c r="BF1625" s="93">
        <f t="shared" si="164"/>
        <v>0</v>
      </c>
      <c r="BH1625" s="93">
        <f t="shared" si="165"/>
        <v>0</v>
      </c>
      <c r="BI1625" s="93">
        <f t="shared" si="166"/>
        <v>0</v>
      </c>
      <c r="BJ1625" s="93">
        <f t="shared" si="167"/>
        <v>0</v>
      </c>
      <c r="BK1625" s="93"/>
      <c r="BL1625" s="93"/>
      <c r="BW1625" s="93" t="str">
        <f t="shared" si="168"/>
        <v>21</v>
      </c>
      <c r="BX1625" s="2" t="s">
        <v>1661</v>
      </c>
    </row>
    <row r="1626" spans="1:76" s="81" customFormat="1" ht="25.5" x14ac:dyDescent="0.25">
      <c r="A1626" s="66" t="s">
        <v>1850</v>
      </c>
      <c r="B1626" s="72" t="s">
        <v>55</v>
      </c>
      <c r="C1626" s="72" t="s">
        <v>1848</v>
      </c>
      <c r="D1626" s="174" t="s">
        <v>1849</v>
      </c>
      <c r="E1626" s="174"/>
      <c r="F1626" s="72" t="s">
        <v>203</v>
      </c>
      <c r="G1626" s="90">
        <v>1</v>
      </c>
      <c r="H1626" s="91"/>
      <c r="I1626" s="92" t="s">
        <v>63</v>
      </c>
      <c r="J1626" s="90">
        <f t="shared" si="141"/>
        <v>0</v>
      </c>
      <c r="K1626" s="90">
        <f t="shared" si="142"/>
        <v>0</v>
      </c>
      <c r="L1626" s="90">
        <f t="shared" si="143"/>
        <v>0</v>
      </c>
      <c r="M1626" s="90">
        <f t="shared" si="144"/>
        <v>0</v>
      </c>
      <c r="N1626" s="90">
        <v>0</v>
      </c>
      <c r="O1626" s="90">
        <f t="shared" si="145"/>
        <v>0</v>
      </c>
      <c r="P1626" s="92" t="s">
        <v>1647</v>
      </c>
      <c r="Z1626" s="93">
        <f t="shared" si="146"/>
        <v>0</v>
      </c>
      <c r="AB1626" s="93">
        <f t="shared" si="147"/>
        <v>0</v>
      </c>
      <c r="AC1626" s="93">
        <f t="shared" si="148"/>
        <v>0</v>
      </c>
      <c r="AD1626" s="93">
        <f t="shared" si="149"/>
        <v>0</v>
      </c>
      <c r="AE1626" s="93">
        <f t="shared" si="150"/>
        <v>0</v>
      </c>
      <c r="AF1626" s="93">
        <f t="shared" si="151"/>
        <v>0</v>
      </c>
      <c r="AG1626" s="93">
        <f t="shared" si="152"/>
        <v>0</v>
      </c>
      <c r="AH1626" s="93">
        <f t="shared" si="153"/>
        <v>0</v>
      </c>
      <c r="AI1626" s="88" t="s">
        <v>55</v>
      </c>
      <c r="AJ1626" s="93">
        <f t="shared" si="154"/>
        <v>0</v>
      </c>
      <c r="AK1626" s="93">
        <f t="shared" si="155"/>
        <v>0</v>
      </c>
      <c r="AL1626" s="93">
        <f t="shared" si="156"/>
        <v>0</v>
      </c>
      <c r="AN1626" s="93">
        <v>21</v>
      </c>
      <c r="AO1626" s="93">
        <f t="shared" si="157"/>
        <v>0</v>
      </c>
      <c r="AP1626" s="93">
        <f t="shared" si="158"/>
        <v>0</v>
      </c>
      <c r="AQ1626" s="94" t="s">
        <v>148</v>
      </c>
      <c r="AV1626" s="93">
        <f t="shared" si="159"/>
        <v>0</v>
      </c>
      <c r="AW1626" s="93">
        <f t="shared" si="160"/>
        <v>0</v>
      </c>
      <c r="AX1626" s="93">
        <f t="shared" si="161"/>
        <v>0</v>
      </c>
      <c r="AY1626" s="94" t="s">
        <v>1839</v>
      </c>
      <c r="AZ1626" s="94" t="s">
        <v>1649</v>
      </c>
      <c r="BA1626" s="88" t="s">
        <v>67</v>
      </c>
      <c r="BC1626" s="93">
        <f t="shared" si="162"/>
        <v>0</v>
      </c>
      <c r="BD1626" s="93">
        <f t="shared" si="163"/>
        <v>0</v>
      </c>
      <c r="BE1626" s="93">
        <v>0</v>
      </c>
      <c r="BF1626" s="93">
        <f t="shared" si="164"/>
        <v>0</v>
      </c>
      <c r="BH1626" s="93">
        <f t="shared" si="165"/>
        <v>0</v>
      </c>
      <c r="BI1626" s="93">
        <f t="shared" si="166"/>
        <v>0</v>
      </c>
      <c r="BJ1626" s="93">
        <f t="shared" si="167"/>
        <v>0</v>
      </c>
      <c r="BK1626" s="93"/>
      <c r="BL1626" s="93"/>
      <c r="BW1626" s="93" t="str">
        <f t="shared" si="168"/>
        <v>21</v>
      </c>
      <c r="BX1626" s="2" t="s">
        <v>1849</v>
      </c>
    </row>
    <row r="1627" spans="1:76" s="81" customFormat="1" ht="25.5" x14ac:dyDescent="0.25">
      <c r="A1627" s="66" t="s">
        <v>1853</v>
      </c>
      <c r="B1627" s="72" t="s">
        <v>55</v>
      </c>
      <c r="C1627" s="72" t="s">
        <v>1851</v>
      </c>
      <c r="D1627" s="174" t="s">
        <v>1852</v>
      </c>
      <c r="E1627" s="174"/>
      <c r="F1627" s="72" t="s">
        <v>203</v>
      </c>
      <c r="G1627" s="90">
        <v>3</v>
      </c>
      <c r="H1627" s="91"/>
      <c r="I1627" s="92" t="s">
        <v>63</v>
      </c>
      <c r="J1627" s="90">
        <f t="shared" si="141"/>
        <v>0</v>
      </c>
      <c r="K1627" s="90">
        <f t="shared" si="142"/>
        <v>0</v>
      </c>
      <c r="L1627" s="90">
        <f t="shared" si="143"/>
        <v>0</v>
      </c>
      <c r="M1627" s="90">
        <f t="shared" si="144"/>
        <v>0</v>
      </c>
      <c r="N1627" s="90">
        <v>0</v>
      </c>
      <c r="O1627" s="90">
        <f t="shared" si="145"/>
        <v>0</v>
      </c>
      <c r="P1627" s="92" t="s">
        <v>1647</v>
      </c>
      <c r="Z1627" s="93">
        <f t="shared" si="146"/>
        <v>0</v>
      </c>
      <c r="AB1627" s="93">
        <f t="shared" si="147"/>
        <v>0</v>
      </c>
      <c r="AC1627" s="93">
        <f t="shared" si="148"/>
        <v>0</v>
      </c>
      <c r="AD1627" s="93">
        <f t="shared" si="149"/>
        <v>0</v>
      </c>
      <c r="AE1627" s="93">
        <f t="shared" si="150"/>
        <v>0</v>
      </c>
      <c r="AF1627" s="93">
        <f t="shared" si="151"/>
        <v>0</v>
      </c>
      <c r="AG1627" s="93">
        <f t="shared" si="152"/>
        <v>0</v>
      </c>
      <c r="AH1627" s="93">
        <f t="shared" si="153"/>
        <v>0</v>
      </c>
      <c r="AI1627" s="88" t="s">
        <v>55</v>
      </c>
      <c r="AJ1627" s="93">
        <f t="shared" si="154"/>
        <v>0</v>
      </c>
      <c r="AK1627" s="93">
        <f t="shared" si="155"/>
        <v>0</v>
      </c>
      <c r="AL1627" s="93">
        <f t="shared" si="156"/>
        <v>0</v>
      </c>
      <c r="AN1627" s="93">
        <v>21</v>
      </c>
      <c r="AO1627" s="93">
        <f t="shared" si="157"/>
        <v>0</v>
      </c>
      <c r="AP1627" s="93">
        <f t="shared" si="158"/>
        <v>0</v>
      </c>
      <c r="AQ1627" s="94" t="s">
        <v>148</v>
      </c>
      <c r="AV1627" s="93">
        <f t="shared" si="159"/>
        <v>0</v>
      </c>
      <c r="AW1627" s="93">
        <f t="shared" si="160"/>
        <v>0</v>
      </c>
      <c r="AX1627" s="93">
        <f t="shared" si="161"/>
        <v>0</v>
      </c>
      <c r="AY1627" s="94" t="s">
        <v>1839</v>
      </c>
      <c r="AZ1627" s="94" t="s">
        <v>1649</v>
      </c>
      <c r="BA1627" s="88" t="s">
        <v>67</v>
      </c>
      <c r="BC1627" s="93">
        <f t="shared" si="162"/>
        <v>0</v>
      </c>
      <c r="BD1627" s="93">
        <f t="shared" si="163"/>
        <v>0</v>
      </c>
      <c r="BE1627" s="93">
        <v>0</v>
      </c>
      <c r="BF1627" s="93">
        <f t="shared" si="164"/>
        <v>0</v>
      </c>
      <c r="BH1627" s="93">
        <f t="shared" si="165"/>
        <v>0</v>
      </c>
      <c r="BI1627" s="93">
        <f t="shared" si="166"/>
        <v>0</v>
      </c>
      <c r="BJ1627" s="93">
        <f t="shared" si="167"/>
        <v>0</v>
      </c>
      <c r="BK1627" s="93"/>
      <c r="BL1627" s="93"/>
      <c r="BW1627" s="93" t="str">
        <f t="shared" si="168"/>
        <v>21</v>
      </c>
      <c r="BX1627" s="2" t="s">
        <v>1852</v>
      </c>
    </row>
    <row r="1628" spans="1:76" s="81" customFormat="1" ht="25.5" x14ac:dyDescent="0.25">
      <c r="A1628" s="66" t="s">
        <v>1856</v>
      </c>
      <c r="B1628" s="72" t="s">
        <v>55</v>
      </c>
      <c r="C1628" s="72" t="s">
        <v>1854</v>
      </c>
      <c r="D1628" s="174" t="s">
        <v>1855</v>
      </c>
      <c r="E1628" s="174"/>
      <c r="F1628" s="72" t="s">
        <v>1671</v>
      </c>
      <c r="G1628" s="90">
        <v>12</v>
      </c>
      <c r="H1628" s="91"/>
      <c r="I1628" s="92" t="s">
        <v>63</v>
      </c>
      <c r="J1628" s="90">
        <f t="shared" si="141"/>
        <v>0</v>
      </c>
      <c r="K1628" s="90">
        <f t="shared" si="142"/>
        <v>0</v>
      </c>
      <c r="L1628" s="90">
        <f t="shared" si="143"/>
        <v>0</v>
      </c>
      <c r="M1628" s="90">
        <f t="shared" si="144"/>
        <v>0</v>
      </c>
      <c r="N1628" s="90">
        <v>0</v>
      </c>
      <c r="O1628" s="90">
        <f t="shared" si="145"/>
        <v>0</v>
      </c>
      <c r="P1628" s="92" t="s">
        <v>1647</v>
      </c>
      <c r="Z1628" s="93">
        <f t="shared" si="146"/>
        <v>0</v>
      </c>
      <c r="AB1628" s="93">
        <f t="shared" si="147"/>
        <v>0</v>
      </c>
      <c r="AC1628" s="93">
        <f t="shared" si="148"/>
        <v>0</v>
      </c>
      <c r="AD1628" s="93">
        <f t="shared" si="149"/>
        <v>0</v>
      </c>
      <c r="AE1628" s="93">
        <f t="shared" si="150"/>
        <v>0</v>
      </c>
      <c r="AF1628" s="93">
        <f t="shared" si="151"/>
        <v>0</v>
      </c>
      <c r="AG1628" s="93">
        <f t="shared" si="152"/>
        <v>0</v>
      </c>
      <c r="AH1628" s="93">
        <f t="shared" si="153"/>
        <v>0</v>
      </c>
      <c r="AI1628" s="88" t="s">
        <v>55</v>
      </c>
      <c r="AJ1628" s="93">
        <f t="shared" si="154"/>
        <v>0</v>
      </c>
      <c r="AK1628" s="93">
        <f t="shared" si="155"/>
        <v>0</v>
      </c>
      <c r="AL1628" s="93">
        <f t="shared" si="156"/>
        <v>0</v>
      </c>
      <c r="AN1628" s="93">
        <v>21</v>
      </c>
      <c r="AO1628" s="93">
        <f t="shared" si="157"/>
        <v>0</v>
      </c>
      <c r="AP1628" s="93">
        <f t="shared" si="158"/>
        <v>0</v>
      </c>
      <c r="AQ1628" s="94" t="s">
        <v>148</v>
      </c>
      <c r="AV1628" s="93">
        <f t="shared" si="159"/>
        <v>0</v>
      </c>
      <c r="AW1628" s="93">
        <f t="shared" si="160"/>
        <v>0</v>
      </c>
      <c r="AX1628" s="93">
        <f t="shared" si="161"/>
        <v>0</v>
      </c>
      <c r="AY1628" s="94" t="s">
        <v>1839</v>
      </c>
      <c r="AZ1628" s="94" t="s">
        <v>1649</v>
      </c>
      <c r="BA1628" s="88" t="s">
        <v>67</v>
      </c>
      <c r="BC1628" s="93">
        <f t="shared" si="162"/>
        <v>0</v>
      </c>
      <c r="BD1628" s="93">
        <f t="shared" si="163"/>
        <v>0</v>
      </c>
      <c r="BE1628" s="93">
        <v>0</v>
      </c>
      <c r="BF1628" s="93">
        <f t="shared" si="164"/>
        <v>0</v>
      </c>
      <c r="BH1628" s="93">
        <f t="shared" si="165"/>
        <v>0</v>
      </c>
      <c r="BI1628" s="93">
        <f t="shared" si="166"/>
        <v>0</v>
      </c>
      <c r="BJ1628" s="93">
        <f t="shared" si="167"/>
        <v>0</v>
      </c>
      <c r="BK1628" s="93"/>
      <c r="BL1628" s="93"/>
      <c r="BW1628" s="93" t="str">
        <f t="shared" si="168"/>
        <v>21</v>
      </c>
      <c r="BX1628" s="2" t="s">
        <v>1855</v>
      </c>
    </row>
    <row r="1629" spans="1:76" s="81" customFormat="1" ht="25.5" x14ac:dyDescent="0.25">
      <c r="A1629" s="66" t="s">
        <v>1858</v>
      </c>
      <c r="B1629" s="72" t="s">
        <v>55</v>
      </c>
      <c r="C1629" s="72" t="s">
        <v>1857</v>
      </c>
      <c r="D1629" s="174" t="s">
        <v>1778</v>
      </c>
      <c r="E1629" s="174"/>
      <c r="F1629" s="72" t="s">
        <v>1671</v>
      </c>
      <c r="G1629" s="90">
        <v>6</v>
      </c>
      <c r="H1629" s="91"/>
      <c r="I1629" s="92" t="s">
        <v>63</v>
      </c>
      <c r="J1629" s="90">
        <f t="shared" si="141"/>
        <v>0</v>
      </c>
      <c r="K1629" s="90">
        <f t="shared" si="142"/>
        <v>0</v>
      </c>
      <c r="L1629" s="90">
        <f t="shared" si="143"/>
        <v>0</v>
      </c>
      <c r="M1629" s="90">
        <f t="shared" si="144"/>
        <v>0</v>
      </c>
      <c r="N1629" s="90">
        <v>0</v>
      </c>
      <c r="O1629" s="90">
        <f t="shared" si="145"/>
        <v>0</v>
      </c>
      <c r="P1629" s="92" t="s">
        <v>1647</v>
      </c>
      <c r="Z1629" s="93">
        <f t="shared" si="146"/>
        <v>0</v>
      </c>
      <c r="AB1629" s="93">
        <f t="shared" si="147"/>
        <v>0</v>
      </c>
      <c r="AC1629" s="93">
        <f t="shared" si="148"/>
        <v>0</v>
      </c>
      <c r="AD1629" s="93">
        <f t="shared" si="149"/>
        <v>0</v>
      </c>
      <c r="AE1629" s="93">
        <f t="shared" si="150"/>
        <v>0</v>
      </c>
      <c r="AF1629" s="93">
        <f t="shared" si="151"/>
        <v>0</v>
      </c>
      <c r="AG1629" s="93">
        <f t="shared" si="152"/>
        <v>0</v>
      </c>
      <c r="AH1629" s="93">
        <f t="shared" si="153"/>
        <v>0</v>
      </c>
      <c r="AI1629" s="88" t="s">
        <v>55</v>
      </c>
      <c r="AJ1629" s="93">
        <f t="shared" si="154"/>
        <v>0</v>
      </c>
      <c r="AK1629" s="93">
        <f t="shared" si="155"/>
        <v>0</v>
      </c>
      <c r="AL1629" s="93">
        <f t="shared" si="156"/>
        <v>0</v>
      </c>
      <c r="AN1629" s="93">
        <v>21</v>
      </c>
      <c r="AO1629" s="93">
        <f t="shared" si="157"/>
        <v>0</v>
      </c>
      <c r="AP1629" s="93">
        <f t="shared" si="158"/>
        <v>0</v>
      </c>
      <c r="AQ1629" s="94" t="s">
        <v>148</v>
      </c>
      <c r="AV1629" s="93">
        <f t="shared" si="159"/>
        <v>0</v>
      </c>
      <c r="AW1629" s="93">
        <f t="shared" si="160"/>
        <v>0</v>
      </c>
      <c r="AX1629" s="93">
        <f t="shared" si="161"/>
        <v>0</v>
      </c>
      <c r="AY1629" s="94" t="s">
        <v>1839</v>
      </c>
      <c r="AZ1629" s="94" t="s">
        <v>1649</v>
      </c>
      <c r="BA1629" s="88" t="s">
        <v>67</v>
      </c>
      <c r="BC1629" s="93">
        <f t="shared" si="162"/>
        <v>0</v>
      </c>
      <c r="BD1629" s="93">
        <f t="shared" si="163"/>
        <v>0</v>
      </c>
      <c r="BE1629" s="93">
        <v>0</v>
      </c>
      <c r="BF1629" s="93">
        <f t="shared" si="164"/>
        <v>0</v>
      </c>
      <c r="BH1629" s="93">
        <f t="shared" si="165"/>
        <v>0</v>
      </c>
      <c r="BI1629" s="93">
        <f t="shared" si="166"/>
        <v>0</v>
      </c>
      <c r="BJ1629" s="93">
        <f t="shared" si="167"/>
        <v>0</v>
      </c>
      <c r="BK1629" s="93"/>
      <c r="BL1629" s="93"/>
      <c r="BW1629" s="93" t="str">
        <f t="shared" si="168"/>
        <v>21</v>
      </c>
      <c r="BX1629" s="2" t="s">
        <v>1778</v>
      </c>
    </row>
    <row r="1630" spans="1:76" s="81" customFormat="1" ht="25.5" x14ac:dyDescent="0.25">
      <c r="A1630" s="66" t="s">
        <v>1860</v>
      </c>
      <c r="B1630" s="72" t="s">
        <v>55</v>
      </c>
      <c r="C1630" s="72" t="s">
        <v>1859</v>
      </c>
      <c r="D1630" s="174" t="s">
        <v>1692</v>
      </c>
      <c r="E1630" s="174"/>
      <c r="F1630" s="72" t="s">
        <v>1671</v>
      </c>
      <c r="G1630" s="90">
        <v>9</v>
      </c>
      <c r="H1630" s="91"/>
      <c r="I1630" s="92" t="s">
        <v>63</v>
      </c>
      <c r="J1630" s="90">
        <f t="shared" si="141"/>
        <v>0</v>
      </c>
      <c r="K1630" s="90">
        <f t="shared" si="142"/>
        <v>0</v>
      </c>
      <c r="L1630" s="90">
        <f t="shared" si="143"/>
        <v>0</v>
      </c>
      <c r="M1630" s="90">
        <f t="shared" si="144"/>
        <v>0</v>
      </c>
      <c r="N1630" s="90">
        <v>0</v>
      </c>
      <c r="O1630" s="90">
        <f t="shared" si="145"/>
        <v>0</v>
      </c>
      <c r="P1630" s="92" t="s">
        <v>1647</v>
      </c>
      <c r="Z1630" s="93">
        <f t="shared" si="146"/>
        <v>0</v>
      </c>
      <c r="AB1630" s="93">
        <f t="shared" si="147"/>
        <v>0</v>
      </c>
      <c r="AC1630" s="93">
        <f t="shared" si="148"/>
        <v>0</v>
      </c>
      <c r="AD1630" s="93">
        <f t="shared" si="149"/>
        <v>0</v>
      </c>
      <c r="AE1630" s="93">
        <f t="shared" si="150"/>
        <v>0</v>
      </c>
      <c r="AF1630" s="93">
        <f t="shared" si="151"/>
        <v>0</v>
      </c>
      <c r="AG1630" s="93">
        <f t="shared" si="152"/>
        <v>0</v>
      </c>
      <c r="AH1630" s="93">
        <f t="shared" si="153"/>
        <v>0</v>
      </c>
      <c r="AI1630" s="88" t="s">
        <v>55</v>
      </c>
      <c r="AJ1630" s="93">
        <f t="shared" si="154"/>
        <v>0</v>
      </c>
      <c r="AK1630" s="93">
        <f t="shared" si="155"/>
        <v>0</v>
      </c>
      <c r="AL1630" s="93">
        <f t="shared" si="156"/>
        <v>0</v>
      </c>
      <c r="AN1630" s="93">
        <v>21</v>
      </c>
      <c r="AO1630" s="93">
        <f t="shared" si="157"/>
        <v>0</v>
      </c>
      <c r="AP1630" s="93">
        <f t="shared" si="158"/>
        <v>0</v>
      </c>
      <c r="AQ1630" s="94" t="s">
        <v>148</v>
      </c>
      <c r="AV1630" s="93">
        <f t="shared" si="159"/>
        <v>0</v>
      </c>
      <c r="AW1630" s="93">
        <f t="shared" si="160"/>
        <v>0</v>
      </c>
      <c r="AX1630" s="93">
        <f t="shared" si="161"/>
        <v>0</v>
      </c>
      <c r="AY1630" s="94" t="s">
        <v>1839</v>
      </c>
      <c r="AZ1630" s="94" t="s">
        <v>1649</v>
      </c>
      <c r="BA1630" s="88" t="s">
        <v>67</v>
      </c>
      <c r="BC1630" s="93">
        <f t="shared" si="162"/>
        <v>0</v>
      </c>
      <c r="BD1630" s="93">
        <f t="shared" si="163"/>
        <v>0</v>
      </c>
      <c r="BE1630" s="93">
        <v>0</v>
      </c>
      <c r="BF1630" s="93">
        <f t="shared" si="164"/>
        <v>0</v>
      </c>
      <c r="BH1630" s="93">
        <f t="shared" si="165"/>
        <v>0</v>
      </c>
      <c r="BI1630" s="93">
        <f t="shared" si="166"/>
        <v>0</v>
      </c>
      <c r="BJ1630" s="93">
        <f t="shared" si="167"/>
        <v>0</v>
      </c>
      <c r="BK1630" s="93"/>
      <c r="BL1630" s="93"/>
      <c r="BW1630" s="93" t="str">
        <f t="shared" si="168"/>
        <v>21</v>
      </c>
      <c r="BX1630" s="2" t="s">
        <v>1692</v>
      </c>
    </row>
    <row r="1631" spans="1:76" s="81" customFormat="1" ht="25.5" x14ac:dyDescent="0.25">
      <c r="A1631" s="66" t="s">
        <v>1862</v>
      </c>
      <c r="B1631" s="72" t="s">
        <v>55</v>
      </c>
      <c r="C1631" s="72" t="s">
        <v>1861</v>
      </c>
      <c r="D1631" s="174" t="s">
        <v>1695</v>
      </c>
      <c r="E1631" s="174"/>
      <c r="F1631" s="72" t="s">
        <v>1671</v>
      </c>
      <c r="G1631" s="90">
        <v>1</v>
      </c>
      <c r="H1631" s="91"/>
      <c r="I1631" s="92" t="s">
        <v>63</v>
      </c>
      <c r="J1631" s="90">
        <f t="shared" si="141"/>
        <v>0</v>
      </c>
      <c r="K1631" s="90">
        <f t="shared" si="142"/>
        <v>0</v>
      </c>
      <c r="L1631" s="90">
        <f t="shared" si="143"/>
        <v>0</v>
      </c>
      <c r="M1631" s="90">
        <f t="shared" si="144"/>
        <v>0</v>
      </c>
      <c r="N1631" s="90">
        <v>0</v>
      </c>
      <c r="O1631" s="90">
        <f t="shared" si="145"/>
        <v>0</v>
      </c>
      <c r="P1631" s="92" t="s">
        <v>1647</v>
      </c>
      <c r="Z1631" s="93">
        <f t="shared" si="146"/>
        <v>0</v>
      </c>
      <c r="AB1631" s="93">
        <f t="shared" si="147"/>
        <v>0</v>
      </c>
      <c r="AC1631" s="93">
        <f t="shared" si="148"/>
        <v>0</v>
      </c>
      <c r="AD1631" s="93">
        <f t="shared" si="149"/>
        <v>0</v>
      </c>
      <c r="AE1631" s="93">
        <f t="shared" si="150"/>
        <v>0</v>
      </c>
      <c r="AF1631" s="93">
        <f t="shared" si="151"/>
        <v>0</v>
      </c>
      <c r="AG1631" s="93">
        <f t="shared" si="152"/>
        <v>0</v>
      </c>
      <c r="AH1631" s="93">
        <f t="shared" si="153"/>
        <v>0</v>
      </c>
      <c r="AI1631" s="88" t="s">
        <v>55</v>
      </c>
      <c r="AJ1631" s="93">
        <f t="shared" si="154"/>
        <v>0</v>
      </c>
      <c r="AK1631" s="93">
        <f t="shared" si="155"/>
        <v>0</v>
      </c>
      <c r="AL1631" s="93">
        <f t="shared" si="156"/>
        <v>0</v>
      </c>
      <c r="AN1631" s="93">
        <v>21</v>
      </c>
      <c r="AO1631" s="93">
        <f t="shared" si="157"/>
        <v>0</v>
      </c>
      <c r="AP1631" s="93">
        <f t="shared" si="158"/>
        <v>0</v>
      </c>
      <c r="AQ1631" s="94" t="s">
        <v>148</v>
      </c>
      <c r="AV1631" s="93">
        <f t="shared" si="159"/>
        <v>0</v>
      </c>
      <c r="AW1631" s="93">
        <f t="shared" si="160"/>
        <v>0</v>
      </c>
      <c r="AX1631" s="93">
        <f t="shared" si="161"/>
        <v>0</v>
      </c>
      <c r="AY1631" s="94" t="s">
        <v>1839</v>
      </c>
      <c r="AZ1631" s="94" t="s">
        <v>1649</v>
      </c>
      <c r="BA1631" s="88" t="s">
        <v>67</v>
      </c>
      <c r="BC1631" s="93">
        <f t="shared" si="162"/>
        <v>0</v>
      </c>
      <c r="BD1631" s="93">
        <f t="shared" si="163"/>
        <v>0</v>
      </c>
      <c r="BE1631" s="93">
        <v>0</v>
      </c>
      <c r="BF1631" s="93">
        <f t="shared" si="164"/>
        <v>0</v>
      </c>
      <c r="BH1631" s="93">
        <f t="shared" si="165"/>
        <v>0</v>
      </c>
      <c r="BI1631" s="93">
        <f t="shared" si="166"/>
        <v>0</v>
      </c>
      <c r="BJ1631" s="93">
        <f t="shared" si="167"/>
        <v>0</v>
      </c>
      <c r="BK1631" s="93"/>
      <c r="BL1631" s="93"/>
      <c r="BW1631" s="93" t="str">
        <f t="shared" si="168"/>
        <v>21</v>
      </c>
      <c r="BX1631" s="2" t="s">
        <v>1695</v>
      </c>
    </row>
    <row r="1632" spans="1:76" s="81" customFormat="1" ht="25.5" x14ac:dyDescent="0.25">
      <c r="A1632" s="66" t="s">
        <v>1865</v>
      </c>
      <c r="B1632" s="72" t="s">
        <v>55</v>
      </c>
      <c r="C1632" s="72" t="s">
        <v>1863</v>
      </c>
      <c r="D1632" s="174" t="s">
        <v>1864</v>
      </c>
      <c r="E1632" s="174"/>
      <c r="F1632" s="72" t="s">
        <v>192</v>
      </c>
      <c r="G1632" s="90">
        <v>12</v>
      </c>
      <c r="H1632" s="91"/>
      <c r="I1632" s="92" t="s">
        <v>63</v>
      </c>
      <c r="J1632" s="90">
        <f t="shared" si="141"/>
        <v>0</v>
      </c>
      <c r="K1632" s="90">
        <f t="shared" si="142"/>
        <v>0</v>
      </c>
      <c r="L1632" s="90">
        <f t="shared" si="143"/>
        <v>0</v>
      </c>
      <c r="M1632" s="90">
        <f t="shared" si="144"/>
        <v>0</v>
      </c>
      <c r="N1632" s="90">
        <v>0</v>
      </c>
      <c r="O1632" s="90">
        <f t="shared" si="145"/>
        <v>0</v>
      </c>
      <c r="P1632" s="92" t="s">
        <v>1647</v>
      </c>
      <c r="Z1632" s="93">
        <f t="shared" si="146"/>
        <v>0</v>
      </c>
      <c r="AB1632" s="93">
        <f t="shared" si="147"/>
        <v>0</v>
      </c>
      <c r="AC1632" s="93">
        <f t="shared" si="148"/>
        <v>0</v>
      </c>
      <c r="AD1632" s="93">
        <f t="shared" si="149"/>
        <v>0</v>
      </c>
      <c r="AE1632" s="93">
        <f t="shared" si="150"/>
        <v>0</v>
      </c>
      <c r="AF1632" s="93">
        <f t="shared" si="151"/>
        <v>0</v>
      </c>
      <c r="AG1632" s="93">
        <f t="shared" si="152"/>
        <v>0</v>
      </c>
      <c r="AH1632" s="93">
        <f t="shared" si="153"/>
        <v>0</v>
      </c>
      <c r="AI1632" s="88" t="s">
        <v>55</v>
      </c>
      <c r="AJ1632" s="93">
        <f t="shared" si="154"/>
        <v>0</v>
      </c>
      <c r="AK1632" s="93">
        <f t="shared" si="155"/>
        <v>0</v>
      </c>
      <c r="AL1632" s="93">
        <f t="shared" si="156"/>
        <v>0</v>
      </c>
      <c r="AN1632" s="93">
        <v>21</v>
      </c>
      <c r="AO1632" s="93">
        <f t="shared" si="157"/>
        <v>0</v>
      </c>
      <c r="AP1632" s="93">
        <f t="shared" si="158"/>
        <v>0</v>
      </c>
      <c r="AQ1632" s="94" t="s">
        <v>148</v>
      </c>
      <c r="AV1632" s="93">
        <f t="shared" si="159"/>
        <v>0</v>
      </c>
      <c r="AW1632" s="93">
        <f t="shared" si="160"/>
        <v>0</v>
      </c>
      <c r="AX1632" s="93">
        <f t="shared" si="161"/>
        <v>0</v>
      </c>
      <c r="AY1632" s="94" t="s">
        <v>1839</v>
      </c>
      <c r="AZ1632" s="94" t="s">
        <v>1649</v>
      </c>
      <c r="BA1632" s="88" t="s">
        <v>67</v>
      </c>
      <c r="BC1632" s="93">
        <f t="shared" si="162"/>
        <v>0</v>
      </c>
      <c r="BD1632" s="93">
        <f t="shared" si="163"/>
        <v>0</v>
      </c>
      <c r="BE1632" s="93">
        <v>0</v>
      </c>
      <c r="BF1632" s="93">
        <f t="shared" si="164"/>
        <v>0</v>
      </c>
      <c r="BH1632" s="93">
        <f t="shared" si="165"/>
        <v>0</v>
      </c>
      <c r="BI1632" s="93">
        <f t="shared" si="166"/>
        <v>0</v>
      </c>
      <c r="BJ1632" s="93">
        <f t="shared" si="167"/>
        <v>0</v>
      </c>
      <c r="BK1632" s="93"/>
      <c r="BL1632" s="93"/>
      <c r="BW1632" s="93" t="str">
        <f t="shared" si="168"/>
        <v>21</v>
      </c>
      <c r="BX1632" s="2" t="s">
        <v>1864</v>
      </c>
    </row>
    <row r="1633" spans="1:76" s="81" customFormat="1" ht="25.5" x14ac:dyDescent="0.25">
      <c r="A1633" s="66" t="s">
        <v>1867</v>
      </c>
      <c r="B1633" s="72" t="s">
        <v>55</v>
      </c>
      <c r="C1633" s="72" t="s">
        <v>1866</v>
      </c>
      <c r="D1633" s="174" t="s">
        <v>1752</v>
      </c>
      <c r="E1633" s="174"/>
      <c r="F1633" s="72" t="s">
        <v>203</v>
      </c>
      <c r="G1633" s="90">
        <v>4</v>
      </c>
      <c r="H1633" s="91"/>
      <c r="I1633" s="92" t="s">
        <v>63</v>
      </c>
      <c r="J1633" s="90">
        <f t="shared" si="141"/>
        <v>0</v>
      </c>
      <c r="K1633" s="90">
        <f t="shared" si="142"/>
        <v>0</v>
      </c>
      <c r="L1633" s="90">
        <f t="shared" si="143"/>
        <v>0</v>
      </c>
      <c r="M1633" s="90">
        <f t="shared" si="144"/>
        <v>0</v>
      </c>
      <c r="N1633" s="90">
        <v>0</v>
      </c>
      <c r="O1633" s="90">
        <f t="shared" si="145"/>
        <v>0</v>
      </c>
      <c r="P1633" s="92" t="s">
        <v>1647</v>
      </c>
      <c r="Z1633" s="93">
        <f t="shared" si="146"/>
        <v>0</v>
      </c>
      <c r="AB1633" s="93">
        <f t="shared" si="147"/>
        <v>0</v>
      </c>
      <c r="AC1633" s="93">
        <f t="shared" si="148"/>
        <v>0</v>
      </c>
      <c r="AD1633" s="93">
        <f t="shared" si="149"/>
        <v>0</v>
      </c>
      <c r="AE1633" s="93">
        <f t="shared" si="150"/>
        <v>0</v>
      </c>
      <c r="AF1633" s="93">
        <f t="shared" si="151"/>
        <v>0</v>
      </c>
      <c r="AG1633" s="93">
        <f t="shared" si="152"/>
        <v>0</v>
      </c>
      <c r="AH1633" s="93">
        <f t="shared" si="153"/>
        <v>0</v>
      </c>
      <c r="AI1633" s="88" t="s">
        <v>55</v>
      </c>
      <c r="AJ1633" s="93">
        <f t="shared" si="154"/>
        <v>0</v>
      </c>
      <c r="AK1633" s="93">
        <f t="shared" si="155"/>
        <v>0</v>
      </c>
      <c r="AL1633" s="93">
        <f t="shared" si="156"/>
        <v>0</v>
      </c>
      <c r="AN1633" s="93">
        <v>21</v>
      </c>
      <c r="AO1633" s="93">
        <f t="shared" si="157"/>
        <v>0</v>
      </c>
      <c r="AP1633" s="93">
        <f t="shared" si="158"/>
        <v>0</v>
      </c>
      <c r="AQ1633" s="94" t="s">
        <v>148</v>
      </c>
      <c r="AV1633" s="93">
        <f t="shared" si="159"/>
        <v>0</v>
      </c>
      <c r="AW1633" s="93">
        <f t="shared" si="160"/>
        <v>0</v>
      </c>
      <c r="AX1633" s="93">
        <f t="shared" si="161"/>
        <v>0</v>
      </c>
      <c r="AY1633" s="94" t="s">
        <v>1839</v>
      </c>
      <c r="AZ1633" s="94" t="s">
        <v>1649</v>
      </c>
      <c r="BA1633" s="88" t="s">
        <v>67</v>
      </c>
      <c r="BC1633" s="93">
        <f t="shared" si="162"/>
        <v>0</v>
      </c>
      <c r="BD1633" s="93">
        <f t="shared" si="163"/>
        <v>0</v>
      </c>
      <c r="BE1633" s="93">
        <v>0</v>
      </c>
      <c r="BF1633" s="93">
        <f t="shared" si="164"/>
        <v>0</v>
      </c>
      <c r="BH1633" s="93">
        <f t="shared" si="165"/>
        <v>0</v>
      </c>
      <c r="BI1633" s="93">
        <f t="shared" si="166"/>
        <v>0</v>
      </c>
      <c r="BJ1633" s="93">
        <f t="shared" si="167"/>
        <v>0</v>
      </c>
      <c r="BK1633" s="93"/>
      <c r="BL1633" s="93"/>
      <c r="BW1633" s="93" t="str">
        <f t="shared" si="168"/>
        <v>21</v>
      </c>
      <c r="BX1633" s="2" t="s">
        <v>1752</v>
      </c>
    </row>
    <row r="1634" spans="1:76" s="81" customFormat="1" ht="25.5" x14ac:dyDescent="0.25">
      <c r="A1634" s="66" t="s">
        <v>1871</v>
      </c>
      <c r="B1634" s="72" t="s">
        <v>55</v>
      </c>
      <c r="C1634" s="72" t="s">
        <v>1868</v>
      </c>
      <c r="D1634" s="174" t="s">
        <v>1710</v>
      </c>
      <c r="E1634" s="174"/>
      <c r="F1634" s="72" t="s">
        <v>1332</v>
      </c>
      <c r="G1634" s="90">
        <v>1</v>
      </c>
      <c r="H1634" s="91"/>
      <c r="I1634" s="92" t="s">
        <v>63</v>
      </c>
      <c r="J1634" s="90">
        <f t="shared" si="141"/>
        <v>0</v>
      </c>
      <c r="K1634" s="90">
        <f t="shared" si="142"/>
        <v>0</v>
      </c>
      <c r="L1634" s="90">
        <f t="shared" si="143"/>
        <v>0</v>
      </c>
      <c r="M1634" s="90">
        <f t="shared" si="144"/>
        <v>0</v>
      </c>
      <c r="N1634" s="90">
        <v>0</v>
      </c>
      <c r="O1634" s="90">
        <f t="shared" si="145"/>
        <v>0</v>
      </c>
      <c r="P1634" s="92" t="s">
        <v>1647</v>
      </c>
      <c r="Z1634" s="93">
        <f t="shared" si="146"/>
        <v>0</v>
      </c>
      <c r="AB1634" s="93">
        <f t="shared" si="147"/>
        <v>0</v>
      </c>
      <c r="AC1634" s="93">
        <f t="shared" si="148"/>
        <v>0</v>
      </c>
      <c r="AD1634" s="93">
        <f t="shared" si="149"/>
        <v>0</v>
      </c>
      <c r="AE1634" s="93">
        <f t="shared" si="150"/>
        <v>0</v>
      </c>
      <c r="AF1634" s="93">
        <f t="shared" si="151"/>
        <v>0</v>
      </c>
      <c r="AG1634" s="93">
        <f t="shared" si="152"/>
        <v>0</v>
      </c>
      <c r="AH1634" s="93">
        <f t="shared" si="153"/>
        <v>0</v>
      </c>
      <c r="AI1634" s="88" t="s">
        <v>55</v>
      </c>
      <c r="AJ1634" s="93">
        <f t="shared" si="154"/>
        <v>0</v>
      </c>
      <c r="AK1634" s="93">
        <f t="shared" si="155"/>
        <v>0</v>
      </c>
      <c r="AL1634" s="93">
        <f t="shared" si="156"/>
        <v>0</v>
      </c>
      <c r="AN1634" s="93">
        <v>21</v>
      </c>
      <c r="AO1634" s="93">
        <f t="shared" si="157"/>
        <v>0</v>
      </c>
      <c r="AP1634" s="93">
        <f t="shared" si="158"/>
        <v>0</v>
      </c>
      <c r="AQ1634" s="94" t="s">
        <v>148</v>
      </c>
      <c r="AV1634" s="93">
        <f t="shared" si="159"/>
        <v>0</v>
      </c>
      <c r="AW1634" s="93">
        <f t="shared" si="160"/>
        <v>0</v>
      </c>
      <c r="AX1634" s="93">
        <f t="shared" si="161"/>
        <v>0</v>
      </c>
      <c r="AY1634" s="94" t="s">
        <v>1839</v>
      </c>
      <c r="AZ1634" s="94" t="s">
        <v>1649</v>
      </c>
      <c r="BA1634" s="88" t="s">
        <v>67</v>
      </c>
      <c r="BC1634" s="93">
        <f t="shared" si="162"/>
        <v>0</v>
      </c>
      <c r="BD1634" s="93">
        <f t="shared" si="163"/>
        <v>0</v>
      </c>
      <c r="BE1634" s="93">
        <v>0</v>
      </c>
      <c r="BF1634" s="93">
        <f t="shared" si="164"/>
        <v>0</v>
      </c>
      <c r="BH1634" s="93">
        <f t="shared" si="165"/>
        <v>0</v>
      </c>
      <c r="BI1634" s="93">
        <f t="shared" si="166"/>
        <v>0</v>
      </c>
      <c r="BJ1634" s="93">
        <f t="shared" si="167"/>
        <v>0</v>
      </c>
      <c r="BK1634" s="93"/>
      <c r="BL1634" s="93"/>
      <c r="BW1634" s="93" t="str">
        <f t="shared" si="168"/>
        <v>21</v>
      </c>
      <c r="BX1634" s="2" t="s">
        <v>1710</v>
      </c>
    </row>
    <row r="1635" spans="1:76" s="81" customFormat="1" x14ac:dyDescent="0.25">
      <c r="A1635" s="109" t="s">
        <v>54</v>
      </c>
      <c r="B1635" s="74" t="s">
        <v>55</v>
      </c>
      <c r="C1635" s="74" t="s">
        <v>1869</v>
      </c>
      <c r="D1635" s="180" t="s">
        <v>1870</v>
      </c>
      <c r="E1635" s="180"/>
      <c r="F1635" s="85" t="s">
        <v>4</v>
      </c>
      <c r="G1635" s="85" t="s">
        <v>4</v>
      </c>
      <c r="H1635" s="98"/>
      <c r="I1635" s="85" t="s">
        <v>4</v>
      </c>
      <c r="J1635" s="86">
        <f>SUM(J1636:J1641)</f>
        <v>0</v>
      </c>
      <c r="K1635" s="86">
        <f>SUM(K1636:K1641)</f>
        <v>0</v>
      </c>
      <c r="L1635" s="86">
        <f>SUM(L1636:L1641)</f>
        <v>0</v>
      </c>
      <c r="M1635" s="86">
        <f>SUM(M1636:M1641)</f>
        <v>0</v>
      </c>
      <c r="N1635" s="87" t="s">
        <v>54</v>
      </c>
      <c r="O1635" s="86">
        <f>SUM(O1636:O1641)</f>
        <v>0</v>
      </c>
      <c r="P1635" s="87" t="s">
        <v>54</v>
      </c>
      <c r="AI1635" s="88" t="s">
        <v>55</v>
      </c>
      <c r="AS1635" s="89">
        <f>SUM(AJ1636:AJ1641)</f>
        <v>0</v>
      </c>
      <c r="AT1635" s="89">
        <f>SUM(AK1636:AK1641)</f>
        <v>0</v>
      </c>
      <c r="AU1635" s="89">
        <f>SUM(AL1636:AL1641)</f>
        <v>0</v>
      </c>
    </row>
    <row r="1636" spans="1:76" s="81" customFormat="1" ht="25.5" x14ac:dyDescent="0.25">
      <c r="A1636" s="66" t="s">
        <v>1875</v>
      </c>
      <c r="B1636" s="72" t="s">
        <v>55</v>
      </c>
      <c r="C1636" s="72" t="s">
        <v>1872</v>
      </c>
      <c r="D1636" s="174" t="s">
        <v>1873</v>
      </c>
      <c r="E1636" s="174"/>
      <c r="F1636" s="72" t="s">
        <v>203</v>
      </c>
      <c r="G1636" s="90">
        <v>2</v>
      </c>
      <c r="H1636" s="91"/>
      <c r="I1636" s="92" t="s">
        <v>63</v>
      </c>
      <c r="J1636" s="90">
        <f t="shared" ref="J1636:J1641" si="169">G1636*AO1636</f>
        <v>0</v>
      </c>
      <c r="K1636" s="90">
        <f t="shared" ref="K1636:K1641" si="170">G1636*AP1636</f>
        <v>0</v>
      </c>
      <c r="L1636" s="90">
        <f t="shared" ref="L1636:L1641" si="171">G1636*H1636</f>
        <v>0</v>
      </c>
      <c r="M1636" s="90">
        <f t="shared" ref="M1636:M1641" si="172">L1636*(1+BW1636/100)</f>
        <v>0</v>
      </c>
      <c r="N1636" s="90">
        <v>0</v>
      </c>
      <c r="O1636" s="90">
        <f t="shared" ref="O1636:O1641" si="173">G1636*N1636</f>
        <v>0</v>
      </c>
      <c r="P1636" s="92" t="s">
        <v>1647</v>
      </c>
      <c r="Z1636" s="93">
        <f t="shared" ref="Z1636:Z1641" si="174">IF(AQ1636="5",BJ1636,0)</f>
        <v>0</v>
      </c>
      <c r="AB1636" s="93">
        <f t="shared" ref="AB1636:AB1641" si="175">IF(AQ1636="1",BH1636,0)</f>
        <v>0</v>
      </c>
      <c r="AC1636" s="93">
        <f t="shared" ref="AC1636:AC1641" si="176">IF(AQ1636="1",BI1636,0)</f>
        <v>0</v>
      </c>
      <c r="AD1636" s="93">
        <f t="shared" ref="AD1636:AD1641" si="177">IF(AQ1636="7",BH1636,0)</f>
        <v>0</v>
      </c>
      <c r="AE1636" s="93">
        <f t="shared" ref="AE1636:AE1641" si="178">IF(AQ1636="7",BI1636,0)</f>
        <v>0</v>
      </c>
      <c r="AF1636" s="93">
        <f t="shared" ref="AF1636:AF1641" si="179">IF(AQ1636="2",BH1636,0)</f>
        <v>0</v>
      </c>
      <c r="AG1636" s="93">
        <f t="shared" ref="AG1636:AG1641" si="180">IF(AQ1636="2",BI1636,0)</f>
        <v>0</v>
      </c>
      <c r="AH1636" s="93">
        <f t="shared" ref="AH1636:AH1641" si="181">IF(AQ1636="0",BJ1636,0)</f>
        <v>0</v>
      </c>
      <c r="AI1636" s="88" t="s">
        <v>55</v>
      </c>
      <c r="AJ1636" s="93">
        <f t="shared" ref="AJ1636:AJ1641" si="182">IF(AN1636=0,L1636,0)</f>
        <v>0</v>
      </c>
      <c r="AK1636" s="93">
        <f t="shared" ref="AK1636:AK1641" si="183">IF(AN1636=12,L1636,0)</f>
        <v>0</v>
      </c>
      <c r="AL1636" s="93">
        <f t="shared" ref="AL1636:AL1641" si="184">IF(AN1636=21,L1636,0)</f>
        <v>0</v>
      </c>
      <c r="AN1636" s="93">
        <v>21</v>
      </c>
      <c r="AO1636" s="93">
        <f t="shared" ref="AO1636:AO1641" si="185">H1636*0</f>
        <v>0</v>
      </c>
      <c r="AP1636" s="93">
        <f t="shared" ref="AP1636:AP1641" si="186">H1636*(1-0)</f>
        <v>0</v>
      </c>
      <c r="AQ1636" s="94" t="s">
        <v>148</v>
      </c>
      <c r="AV1636" s="93">
        <f t="shared" ref="AV1636:AV1641" si="187">AW1636+AX1636</f>
        <v>0</v>
      </c>
      <c r="AW1636" s="93">
        <f t="shared" ref="AW1636:AW1641" si="188">G1636*AO1636</f>
        <v>0</v>
      </c>
      <c r="AX1636" s="93">
        <f t="shared" ref="AX1636:AX1641" si="189">G1636*AP1636</f>
        <v>0</v>
      </c>
      <c r="AY1636" s="94" t="s">
        <v>1874</v>
      </c>
      <c r="AZ1636" s="94" t="s">
        <v>1649</v>
      </c>
      <c r="BA1636" s="88" t="s">
        <v>67</v>
      </c>
      <c r="BC1636" s="93">
        <f t="shared" ref="BC1636:BC1641" si="190">AW1636+AX1636</f>
        <v>0</v>
      </c>
      <c r="BD1636" s="93">
        <f t="shared" ref="BD1636:BD1641" si="191">H1636/(100-BE1636)*100</f>
        <v>0</v>
      </c>
      <c r="BE1636" s="93">
        <v>0</v>
      </c>
      <c r="BF1636" s="93">
        <f t="shared" ref="BF1636:BF1641" si="192">O1636</f>
        <v>0</v>
      </c>
      <c r="BH1636" s="93">
        <f t="shared" ref="BH1636:BH1641" si="193">G1636*AO1636</f>
        <v>0</v>
      </c>
      <c r="BI1636" s="93">
        <f t="shared" ref="BI1636:BI1641" si="194">G1636*AP1636</f>
        <v>0</v>
      </c>
      <c r="BJ1636" s="93">
        <f t="shared" ref="BJ1636:BJ1641" si="195">G1636*H1636</f>
        <v>0</v>
      </c>
      <c r="BK1636" s="93"/>
      <c r="BL1636" s="93"/>
      <c r="BW1636" s="93" t="str">
        <f t="shared" ref="BW1636:BW1641" si="196">I1636</f>
        <v>21</v>
      </c>
      <c r="BX1636" s="2" t="s">
        <v>1873</v>
      </c>
    </row>
    <row r="1637" spans="1:76" s="81" customFormat="1" ht="25.5" x14ac:dyDescent="0.25">
      <c r="A1637" s="66" t="s">
        <v>1878</v>
      </c>
      <c r="B1637" s="72" t="s">
        <v>55</v>
      </c>
      <c r="C1637" s="72" t="s">
        <v>1876</v>
      </c>
      <c r="D1637" s="174" t="s">
        <v>1877</v>
      </c>
      <c r="E1637" s="174"/>
      <c r="F1637" s="72" t="s">
        <v>203</v>
      </c>
      <c r="G1637" s="90">
        <v>3</v>
      </c>
      <c r="H1637" s="91"/>
      <c r="I1637" s="92" t="s">
        <v>63</v>
      </c>
      <c r="J1637" s="90">
        <f t="shared" si="169"/>
        <v>0</v>
      </c>
      <c r="K1637" s="90">
        <f t="shared" si="170"/>
        <v>0</v>
      </c>
      <c r="L1637" s="90">
        <f t="shared" si="171"/>
        <v>0</v>
      </c>
      <c r="M1637" s="90">
        <f t="shared" si="172"/>
        <v>0</v>
      </c>
      <c r="N1637" s="90">
        <v>0</v>
      </c>
      <c r="O1637" s="90">
        <f t="shared" si="173"/>
        <v>0</v>
      </c>
      <c r="P1637" s="92" t="s">
        <v>1647</v>
      </c>
      <c r="Z1637" s="93">
        <f t="shared" si="174"/>
        <v>0</v>
      </c>
      <c r="AB1637" s="93">
        <f t="shared" si="175"/>
        <v>0</v>
      </c>
      <c r="AC1637" s="93">
        <f t="shared" si="176"/>
        <v>0</v>
      </c>
      <c r="AD1637" s="93">
        <f t="shared" si="177"/>
        <v>0</v>
      </c>
      <c r="AE1637" s="93">
        <f t="shared" si="178"/>
        <v>0</v>
      </c>
      <c r="AF1637" s="93">
        <f t="shared" si="179"/>
        <v>0</v>
      </c>
      <c r="AG1637" s="93">
        <f t="shared" si="180"/>
        <v>0</v>
      </c>
      <c r="AH1637" s="93">
        <f t="shared" si="181"/>
        <v>0</v>
      </c>
      <c r="AI1637" s="88" t="s">
        <v>55</v>
      </c>
      <c r="AJ1637" s="93">
        <f t="shared" si="182"/>
        <v>0</v>
      </c>
      <c r="AK1637" s="93">
        <f t="shared" si="183"/>
        <v>0</v>
      </c>
      <c r="AL1637" s="93">
        <f t="shared" si="184"/>
        <v>0</v>
      </c>
      <c r="AN1637" s="93">
        <v>21</v>
      </c>
      <c r="AO1637" s="93">
        <f t="shared" si="185"/>
        <v>0</v>
      </c>
      <c r="AP1637" s="93">
        <f t="shared" si="186"/>
        <v>0</v>
      </c>
      <c r="AQ1637" s="94" t="s">
        <v>148</v>
      </c>
      <c r="AV1637" s="93">
        <f t="shared" si="187"/>
        <v>0</v>
      </c>
      <c r="AW1637" s="93">
        <f t="shared" si="188"/>
        <v>0</v>
      </c>
      <c r="AX1637" s="93">
        <f t="shared" si="189"/>
        <v>0</v>
      </c>
      <c r="AY1637" s="94" t="s">
        <v>1874</v>
      </c>
      <c r="AZ1637" s="94" t="s">
        <v>1649</v>
      </c>
      <c r="BA1637" s="88" t="s">
        <v>67</v>
      </c>
      <c r="BC1637" s="93">
        <f t="shared" si="190"/>
        <v>0</v>
      </c>
      <c r="BD1637" s="93">
        <f t="shared" si="191"/>
        <v>0</v>
      </c>
      <c r="BE1637" s="93">
        <v>0</v>
      </c>
      <c r="BF1637" s="93">
        <f t="shared" si="192"/>
        <v>0</v>
      </c>
      <c r="BH1637" s="93">
        <f t="shared" si="193"/>
        <v>0</v>
      </c>
      <c r="BI1637" s="93">
        <f t="shared" si="194"/>
        <v>0</v>
      </c>
      <c r="BJ1637" s="93">
        <f t="shared" si="195"/>
        <v>0</v>
      </c>
      <c r="BK1637" s="93"/>
      <c r="BL1637" s="93"/>
      <c r="BW1637" s="93" t="str">
        <f t="shared" si="196"/>
        <v>21</v>
      </c>
      <c r="BX1637" s="2" t="s">
        <v>1877</v>
      </c>
    </row>
    <row r="1638" spans="1:76" s="81" customFormat="1" ht="25.5" x14ac:dyDescent="0.25">
      <c r="A1638" s="66" t="s">
        <v>1881</v>
      </c>
      <c r="B1638" s="72" t="s">
        <v>55</v>
      </c>
      <c r="C1638" s="72" t="s">
        <v>1879</v>
      </c>
      <c r="D1638" s="174" t="s">
        <v>1880</v>
      </c>
      <c r="E1638" s="174"/>
      <c r="F1638" s="72" t="s">
        <v>203</v>
      </c>
      <c r="G1638" s="90">
        <v>8</v>
      </c>
      <c r="H1638" s="91"/>
      <c r="I1638" s="92" t="s">
        <v>63</v>
      </c>
      <c r="J1638" s="90">
        <f t="shared" si="169"/>
        <v>0</v>
      </c>
      <c r="K1638" s="90">
        <f t="shared" si="170"/>
        <v>0</v>
      </c>
      <c r="L1638" s="90">
        <f t="shared" si="171"/>
        <v>0</v>
      </c>
      <c r="M1638" s="90">
        <f t="shared" si="172"/>
        <v>0</v>
      </c>
      <c r="N1638" s="90">
        <v>0</v>
      </c>
      <c r="O1638" s="90">
        <f t="shared" si="173"/>
        <v>0</v>
      </c>
      <c r="P1638" s="92" t="s">
        <v>1647</v>
      </c>
      <c r="Z1638" s="93">
        <f t="shared" si="174"/>
        <v>0</v>
      </c>
      <c r="AB1638" s="93">
        <f t="shared" si="175"/>
        <v>0</v>
      </c>
      <c r="AC1638" s="93">
        <f t="shared" si="176"/>
        <v>0</v>
      </c>
      <c r="AD1638" s="93">
        <f t="shared" si="177"/>
        <v>0</v>
      </c>
      <c r="AE1638" s="93">
        <f t="shared" si="178"/>
        <v>0</v>
      </c>
      <c r="AF1638" s="93">
        <f t="shared" si="179"/>
        <v>0</v>
      </c>
      <c r="AG1638" s="93">
        <f t="shared" si="180"/>
        <v>0</v>
      </c>
      <c r="AH1638" s="93">
        <f t="shared" si="181"/>
        <v>0</v>
      </c>
      <c r="AI1638" s="88" t="s">
        <v>55</v>
      </c>
      <c r="AJ1638" s="93">
        <f t="shared" si="182"/>
        <v>0</v>
      </c>
      <c r="AK1638" s="93">
        <f t="shared" si="183"/>
        <v>0</v>
      </c>
      <c r="AL1638" s="93">
        <f t="shared" si="184"/>
        <v>0</v>
      </c>
      <c r="AN1638" s="93">
        <v>21</v>
      </c>
      <c r="AO1638" s="93">
        <f t="shared" si="185"/>
        <v>0</v>
      </c>
      <c r="AP1638" s="93">
        <f t="shared" si="186"/>
        <v>0</v>
      </c>
      <c r="AQ1638" s="94" t="s">
        <v>148</v>
      </c>
      <c r="AV1638" s="93">
        <f t="shared" si="187"/>
        <v>0</v>
      </c>
      <c r="AW1638" s="93">
        <f t="shared" si="188"/>
        <v>0</v>
      </c>
      <c r="AX1638" s="93">
        <f t="shared" si="189"/>
        <v>0</v>
      </c>
      <c r="AY1638" s="94" t="s">
        <v>1874</v>
      </c>
      <c r="AZ1638" s="94" t="s">
        <v>1649</v>
      </c>
      <c r="BA1638" s="88" t="s">
        <v>67</v>
      </c>
      <c r="BC1638" s="93">
        <f t="shared" si="190"/>
        <v>0</v>
      </c>
      <c r="BD1638" s="93">
        <f t="shared" si="191"/>
        <v>0</v>
      </c>
      <c r="BE1638" s="93">
        <v>0</v>
      </c>
      <c r="BF1638" s="93">
        <f t="shared" si="192"/>
        <v>0</v>
      </c>
      <c r="BH1638" s="93">
        <f t="shared" si="193"/>
        <v>0</v>
      </c>
      <c r="BI1638" s="93">
        <f t="shared" si="194"/>
        <v>0</v>
      </c>
      <c r="BJ1638" s="93">
        <f t="shared" si="195"/>
        <v>0</v>
      </c>
      <c r="BK1638" s="93"/>
      <c r="BL1638" s="93"/>
      <c r="BW1638" s="93" t="str">
        <f t="shared" si="196"/>
        <v>21</v>
      </c>
      <c r="BX1638" s="2" t="s">
        <v>1880</v>
      </c>
    </row>
    <row r="1639" spans="1:76" s="81" customFormat="1" ht="25.5" x14ac:dyDescent="0.25">
      <c r="A1639" s="66" t="s">
        <v>1883</v>
      </c>
      <c r="B1639" s="72" t="s">
        <v>55</v>
      </c>
      <c r="C1639" s="72" t="s">
        <v>1882</v>
      </c>
      <c r="D1639" s="174" t="s">
        <v>1778</v>
      </c>
      <c r="E1639" s="174"/>
      <c r="F1639" s="72" t="s">
        <v>1671</v>
      </c>
      <c r="G1639" s="90">
        <v>27</v>
      </c>
      <c r="H1639" s="91"/>
      <c r="I1639" s="92" t="s">
        <v>63</v>
      </c>
      <c r="J1639" s="90">
        <f t="shared" si="169"/>
        <v>0</v>
      </c>
      <c r="K1639" s="90">
        <f t="shared" si="170"/>
        <v>0</v>
      </c>
      <c r="L1639" s="90">
        <f t="shared" si="171"/>
        <v>0</v>
      </c>
      <c r="M1639" s="90">
        <f t="shared" si="172"/>
        <v>0</v>
      </c>
      <c r="N1639" s="90">
        <v>0</v>
      </c>
      <c r="O1639" s="90">
        <f t="shared" si="173"/>
        <v>0</v>
      </c>
      <c r="P1639" s="92" t="s">
        <v>1647</v>
      </c>
      <c r="Z1639" s="93">
        <f t="shared" si="174"/>
        <v>0</v>
      </c>
      <c r="AB1639" s="93">
        <f t="shared" si="175"/>
        <v>0</v>
      </c>
      <c r="AC1639" s="93">
        <f t="shared" si="176"/>
        <v>0</v>
      </c>
      <c r="AD1639" s="93">
        <f t="shared" si="177"/>
        <v>0</v>
      </c>
      <c r="AE1639" s="93">
        <f t="shared" si="178"/>
        <v>0</v>
      </c>
      <c r="AF1639" s="93">
        <f t="shared" si="179"/>
        <v>0</v>
      </c>
      <c r="AG1639" s="93">
        <f t="shared" si="180"/>
        <v>0</v>
      </c>
      <c r="AH1639" s="93">
        <f t="shared" si="181"/>
        <v>0</v>
      </c>
      <c r="AI1639" s="88" t="s">
        <v>55</v>
      </c>
      <c r="AJ1639" s="93">
        <f t="shared" si="182"/>
        <v>0</v>
      </c>
      <c r="AK1639" s="93">
        <f t="shared" si="183"/>
        <v>0</v>
      </c>
      <c r="AL1639" s="93">
        <f t="shared" si="184"/>
        <v>0</v>
      </c>
      <c r="AN1639" s="93">
        <v>21</v>
      </c>
      <c r="AO1639" s="93">
        <f t="shared" si="185"/>
        <v>0</v>
      </c>
      <c r="AP1639" s="93">
        <f t="shared" si="186"/>
        <v>0</v>
      </c>
      <c r="AQ1639" s="94" t="s">
        <v>148</v>
      </c>
      <c r="AV1639" s="93">
        <f t="shared" si="187"/>
        <v>0</v>
      </c>
      <c r="AW1639" s="93">
        <f t="shared" si="188"/>
        <v>0</v>
      </c>
      <c r="AX1639" s="93">
        <f t="shared" si="189"/>
        <v>0</v>
      </c>
      <c r="AY1639" s="94" t="s">
        <v>1874</v>
      </c>
      <c r="AZ1639" s="94" t="s">
        <v>1649</v>
      </c>
      <c r="BA1639" s="88" t="s">
        <v>67</v>
      </c>
      <c r="BC1639" s="93">
        <f t="shared" si="190"/>
        <v>0</v>
      </c>
      <c r="BD1639" s="93">
        <f t="shared" si="191"/>
        <v>0</v>
      </c>
      <c r="BE1639" s="93">
        <v>0</v>
      </c>
      <c r="BF1639" s="93">
        <f t="shared" si="192"/>
        <v>0</v>
      </c>
      <c r="BH1639" s="93">
        <f t="shared" si="193"/>
        <v>0</v>
      </c>
      <c r="BI1639" s="93">
        <f t="shared" si="194"/>
        <v>0</v>
      </c>
      <c r="BJ1639" s="93">
        <f t="shared" si="195"/>
        <v>0</v>
      </c>
      <c r="BK1639" s="93"/>
      <c r="BL1639" s="93"/>
      <c r="BW1639" s="93" t="str">
        <f t="shared" si="196"/>
        <v>21</v>
      </c>
      <c r="BX1639" s="2" t="s">
        <v>1778</v>
      </c>
    </row>
    <row r="1640" spans="1:76" s="81" customFormat="1" ht="25.5" x14ac:dyDescent="0.25">
      <c r="A1640" s="66" t="s">
        <v>1886</v>
      </c>
      <c r="B1640" s="72" t="s">
        <v>55</v>
      </c>
      <c r="C1640" s="72" t="s">
        <v>1884</v>
      </c>
      <c r="D1640" s="174" t="s">
        <v>1885</v>
      </c>
      <c r="E1640" s="174"/>
      <c r="F1640" s="72" t="s">
        <v>203</v>
      </c>
      <c r="G1640" s="90">
        <v>3</v>
      </c>
      <c r="H1640" s="91"/>
      <c r="I1640" s="92" t="s">
        <v>63</v>
      </c>
      <c r="J1640" s="90">
        <f t="shared" si="169"/>
        <v>0</v>
      </c>
      <c r="K1640" s="90">
        <f t="shared" si="170"/>
        <v>0</v>
      </c>
      <c r="L1640" s="90">
        <f t="shared" si="171"/>
        <v>0</v>
      </c>
      <c r="M1640" s="90">
        <f t="shared" si="172"/>
        <v>0</v>
      </c>
      <c r="N1640" s="90">
        <v>0</v>
      </c>
      <c r="O1640" s="90">
        <f t="shared" si="173"/>
        <v>0</v>
      </c>
      <c r="P1640" s="92" t="s">
        <v>1647</v>
      </c>
      <c r="Z1640" s="93">
        <f t="shared" si="174"/>
        <v>0</v>
      </c>
      <c r="AB1640" s="93">
        <f t="shared" si="175"/>
        <v>0</v>
      </c>
      <c r="AC1640" s="93">
        <f t="shared" si="176"/>
        <v>0</v>
      </c>
      <c r="AD1640" s="93">
        <f t="shared" si="177"/>
        <v>0</v>
      </c>
      <c r="AE1640" s="93">
        <f t="shared" si="178"/>
        <v>0</v>
      </c>
      <c r="AF1640" s="93">
        <f t="shared" si="179"/>
        <v>0</v>
      </c>
      <c r="AG1640" s="93">
        <f t="shared" si="180"/>
        <v>0</v>
      </c>
      <c r="AH1640" s="93">
        <f t="shared" si="181"/>
        <v>0</v>
      </c>
      <c r="AI1640" s="88" t="s">
        <v>55</v>
      </c>
      <c r="AJ1640" s="93">
        <f t="shared" si="182"/>
        <v>0</v>
      </c>
      <c r="AK1640" s="93">
        <f t="shared" si="183"/>
        <v>0</v>
      </c>
      <c r="AL1640" s="93">
        <f t="shared" si="184"/>
        <v>0</v>
      </c>
      <c r="AN1640" s="93">
        <v>21</v>
      </c>
      <c r="AO1640" s="93">
        <f t="shared" si="185"/>
        <v>0</v>
      </c>
      <c r="AP1640" s="93">
        <f t="shared" si="186"/>
        <v>0</v>
      </c>
      <c r="AQ1640" s="94" t="s">
        <v>148</v>
      </c>
      <c r="AV1640" s="93">
        <f t="shared" si="187"/>
        <v>0</v>
      </c>
      <c r="AW1640" s="93">
        <f t="shared" si="188"/>
        <v>0</v>
      </c>
      <c r="AX1640" s="93">
        <f t="shared" si="189"/>
        <v>0</v>
      </c>
      <c r="AY1640" s="94" t="s">
        <v>1874</v>
      </c>
      <c r="AZ1640" s="94" t="s">
        <v>1649</v>
      </c>
      <c r="BA1640" s="88" t="s">
        <v>67</v>
      </c>
      <c r="BC1640" s="93">
        <f t="shared" si="190"/>
        <v>0</v>
      </c>
      <c r="BD1640" s="93">
        <f t="shared" si="191"/>
        <v>0</v>
      </c>
      <c r="BE1640" s="93">
        <v>0</v>
      </c>
      <c r="BF1640" s="93">
        <f t="shared" si="192"/>
        <v>0</v>
      </c>
      <c r="BH1640" s="93">
        <f t="shared" si="193"/>
        <v>0</v>
      </c>
      <c r="BI1640" s="93">
        <f t="shared" si="194"/>
        <v>0</v>
      </c>
      <c r="BJ1640" s="93">
        <f t="shared" si="195"/>
        <v>0</v>
      </c>
      <c r="BK1640" s="93"/>
      <c r="BL1640" s="93"/>
      <c r="BW1640" s="93" t="str">
        <f t="shared" si="196"/>
        <v>21</v>
      </c>
      <c r="BX1640" s="2" t="s">
        <v>1885</v>
      </c>
    </row>
    <row r="1641" spans="1:76" s="81" customFormat="1" ht="25.5" x14ac:dyDescent="0.25">
      <c r="A1641" s="66" t="s">
        <v>1890</v>
      </c>
      <c r="B1641" s="72" t="s">
        <v>55</v>
      </c>
      <c r="C1641" s="72" t="s">
        <v>1887</v>
      </c>
      <c r="D1641" s="174" t="s">
        <v>1710</v>
      </c>
      <c r="E1641" s="174"/>
      <c r="F1641" s="72" t="s">
        <v>1332</v>
      </c>
      <c r="G1641" s="90">
        <v>1</v>
      </c>
      <c r="H1641" s="91"/>
      <c r="I1641" s="92" t="s">
        <v>63</v>
      </c>
      <c r="J1641" s="90">
        <f t="shared" si="169"/>
        <v>0</v>
      </c>
      <c r="K1641" s="90">
        <f t="shared" si="170"/>
        <v>0</v>
      </c>
      <c r="L1641" s="90">
        <f t="shared" si="171"/>
        <v>0</v>
      </c>
      <c r="M1641" s="90">
        <f t="shared" si="172"/>
        <v>0</v>
      </c>
      <c r="N1641" s="90">
        <v>0</v>
      </c>
      <c r="O1641" s="90">
        <f t="shared" si="173"/>
        <v>0</v>
      </c>
      <c r="P1641" s="92" t="s">
        <v>1647</v>
      </c>
      <c r="Z1641" s="93">
        <f t="shared" si="174"/>
        <v>0</v>
      </c>
      <c r="AB1641" s="93">
        <f t="shared" si="175"/>
        <v>0</v>
      </c>
      <c r="AC1641" s="93">
        <f t="shared" si="176"/>
        <v>0</v>
      </c>
      <c r="AD1641" s="93">
        <f t="shared" si="177"/>
        <v>0</v>
      </c>
      <c r="AE1641" s="93">
        <f t="shared" si="178"/>
        <v>0</v>
      </c>
      <c r="AF1641" s="93">
        <f t="shared" si="179"/>
        <v>0</v>
      </c>
      <c r="AG1641" s="93">
        <f t="shared" si="180"/>
        <v>0</v>
      </c>
      <c r="AH1641" s="93">
        <f t="shared" si="181"/>
        <v>0</v>
      </c>
      <c r="AI1641" s="88" t="s">
        <v>55</v>
      </c>
      <c r="AJ1641" s="93">
        <f t="shared" si="182"/>
        <v>0</v>
      </c>
      <c r="AK1641" s="93">
        <f t="shared" si="183"/>
        <v>0</v>
      </c>
      <c r="AL1641" s="93">
        <f t="shared" si="184"/>
        <v>0</v>
      </c>
      <c r="AN1641" s="93">
        <v>21</v>
      </c>
      <c r="AO1641" s="93">
        <f t="shared" si="185"/>
        <v>0</v>
      </c>
      <c r="AP1641" s="93">
        <f t="shared" si="186"/>
        <v>0</v>
      </c>
      <c r="AQ1641" s="94" t="s">
        <v>148</v>
      </c>
      <c r="AV1641" s="93">
        <f t="shared" si="187"/>
        <v>0</v>
      </c>
      <c r="AW1641" s="93">
        <f t="shared" si="188"/>
        <v>0</v>
      </c>
      <c r="AX1641" s="93">
        <f t="shared" si="189"/>
        <v>0</v>
      </c>
      <c r="AY1641" s="94" t="s">
        <v>1874</v>
      </c>
      <c r="AZ1641" s="94" t="s">
        <v>1649</v>
      </c>
      <c r="BA1641" s="88" t="s">
        <v>67</v>
      </c>
      <c r="BC1641" s="93">
        <f t="shared" si="190"/>
        <v>0</v>
      </c>
      <c r="BD1641" s="93">
        <f t="shared" si="191"/>
        <v>0</v>
      </c>
      <c r="BE1641" s="93">
        <v>0</v>
      </c>
      <c r="BF1641" s="93">
        <f t="shared" si="192"/>
        <v>0</v>
      </c>
      <c r="BH1641" s="93">
        <f t="shared" si="193"/>
        <v>0</v>
      </c>
      <c r="BI1641" s="93">
        <f t="shared" si="194"/>
        <v>0</v>
      </c>
      <c r="BJ1641" s="93">
        <f t="shared" si="195"/>
        <v>0</v>
      </c>
      <c r="BK1641" s="93"/>
      <c r="BL1641" s="93"/>
      <c r="BW1641" s="93" t="str">
        <f t="shared" si="196"/>
        <v>21</v>
      </c>
      <c r="BX1641" s="2" t="s">
        <v>1710</v>
      </c>
    </row>
    <row r="1642" spans="1:76" s="81" customFormat="1" x14ac:dyDescent="0.25">
      <c r="A1642" s="109" t="s">
        <v>54</v>
      </c>
      <c r="B1642" s="74" t="s">
        <v>55</v>
      </c>
      <c r="C1642" s="74" t="s">
        <v>1888</v>
      </c>
      <c r="D1642" s="180" t="s">
        <v>1889</v>
      </c>
      <c r="E1642" s="180"/>
      <c r="F1642" s="85" t="s">
        <v>4</v>
      </c>
      <c r="G1642" s="85" t="s">
        <v>4</v>
      </c>
      <c r="H1642" s="98"/>
      <c r="I1642" s="85" t="s">
        <v>4</v>
      </c>
      <c r="J1642" s="86">
        <f>SUM(J1643:J1649)</f>
        <v>0</v>
      </c>
      <c r="K1642" s="86">
        <f>SUM(K1643:K1649)</f>
        <v>0</v>
      </c>
      <c r="L1642" s="86">
        <f>SUM(L1643:L1649)</f>
        <v>0</v>
      </c>
      <c r="M1642" s="86">
        <f>SUM(M1643:M1649)</f>
        <v>0</v>
      </c>
      <c r="N1642" s="87" t="s">
        <v>54</v>
      </c>
      <c r="O1642" s="86">
        <f>SUM(O1643:O1649)</f>
        <v>0</v>
      </c>
      <c r="P1642" s="87" t="s">
        <v>54</v>
      </c>
      <c r="AI1642" s="88" t="s">
        <v>55</v>
      </c>
      <c r="AS1642" s="89">
        <f>SUM(AJ1643:AJ1649)</f>
        <v>0</v>
      </c>
      <c r="AT1642" s="89">
        <f>SUM(AK1643:AK1649)</f>
        <v>0</v>
      </c>
      <c r="AU1642" s="89">
        <f>SUM(AL1643:AL1649)</f>
        <v>0</v>
      </c>
    </row>
    <row r="1643" spans="1:76" s="81" customFormat="1" ht="25.5" x14ac:dyDescent="0.25">
      <c r="A1643" s="66" t="s">
        <v>1894</v>
      </c>
      <c r="B1643" s="72" t="s">
        <v>55</v>
      </c>
      <c r="C1643" s="72" t="s">
        <v>1891</v>
      </c>
      <c r="D1643" s="174" t="s">
        <v>1892</v>
      </c>
      <c r="E1643" s="174"/>
      <c r="F1643" s="72" t="s">
        <v>203</v>
      </c>
      <c r="G1643" s="90">
        <v>1</v>
      </c>
      <c r="H1643" s="91"/>
      <c r="I1643" s="92" t="s">
        <v>63</v>
      </c>
      <c r="J1643" s="90">
        <f t="shared" ref="J1643:J1649" si="197">G1643*AO1643</f>
        <v>0</v>
      </c>
      <c r="K1643" s="90">
        <f t="shared" ref="K1643:K1649" si="198">G1643*AP1643</f>
        <v>0</v>
      </c>
      <c r="L1643" s="90">
        <f t="shared" ref="L1643:L1649" si="199">G1643*H1643</f>
        <v>0</v>
      </c>
      <c r="M1643" s="90">
        <f t="shared" ref="M1643:M1649" si="200">L1643*(1+BW1643/100)</f>
        <v>0</v>
      </c>
      <c r="N1643" s="90">
        <v>0</v>
      </c>
      <c r="O1643" s="90">
        <f t="shared" ref="O1643:O1649" si="201">G1643*N1643</f>
        <v>0</v>
      </c>
      <c r="P1643" s="92" t="s">
        <v>1647</v>
      </c>
      <c r="Z1643" s="93">
        <f t="shared" ref="Z1643:Z1649" si="202">IF(AQ1643="5",BJ1643,0)</f>
        <v>0</v>
      </c>
      <c r="AB1643" s="93">
        <f t="shared" ref="AB1643:AB1649" si="203">IF(AQ1643="1",BH1643,0)</f>
        <v>0</v>
      </c>
      <c r="AC1643" s="93">
        <f t="shared" ref="AC1643:AC1649" si="204">IF(AQ1643="1",BI1643,0)</f>
        <v>0</v>
      </c>
      <c r="AD1643" s="93">
        <f t="shared" ref="AD1643:AD1649" si="205">IF(AQ1643="7",BH1643,0)</f>
        <v>0</v>
      </c>
      <c r="AE1643" s="93">
        <f t="shared" ref="AE1643:AE1649" si="206">IF(AQ1643="7",BI1643,0)</f>
        <v>0</v>
      </c>
      <c r="AF1643" s="93">
        <f t="shared" ref="AF1643:AF1649" si="207">IF(AQ1643="2",BH1643,0)</f>
        <v>0</v>
      </c>
      <c r="AG1643" s="93">
        <f t="shared" ref="AG1643:AG1649" si="208">IF(AQ1643="2",BI1643,0)</f>
        <v>0</v>
      </c>
      <c r="AH1643" s="93">
        <f t="shared" ref="AH1643:AH1649" si="209">IF(AQ1643="0",BJ1643,0)</f>
        <v>0</v>
      </c>
      <c r="AI1643" s="88" t="s">
        <v>55</v>
      </c>
      <c r="AJ1643" s="93">
        <f t="shared" ref="AJ1643:AJ1649" si="210">IF(AN1643=0,L1643,0)</f>
        <v>0</v>
      </c>
      <c r="AK1643" s="93">
        <f t="shared" ref="AK1643:AK1649" si="211">IF(AN1643=12,L1643,0)</f>
        <v>0</v>
      </c>
      <c r="AL1643" s="93">
        <f t="shared" ref="AL1643:AL1649" si="212">IF(AN1643=21,L1643,0)</f>
        <v>0</v>
      </c>
      <c r="AN1643" s="93">
        <v>21</v>
      </c>
      <c r="AO1643" s="93">
        <f t="shared" ref="AO1643:AO1649" si="213">H1643*0</f>
        <v>0</v>
      </c>
      <c r="AP1643" s="93">
        <f t="shared" ref="AP1643:AP1649" si="214">H1643*(1-0)</f>
        <v>0</v>
      </c>
      <c r="AQ1643" s="94" t="s">
        <v>148</v>
      </c>
      <c r="AV1643" s="93">
        <f t="shared" ref="AV1643:AV1649" si="215">AW1643+AX1643</f>
        <v>0</v>
      </c>
      <c r="AW1643" s="93">
        <f t="shared" ref="AW1643:AW1649" si="216">G1643*AO1643</f>
        <v>0</v>
      </c>
      <c r="AX1643" s="93">
        <f t="shared" ref="AX1643:AX1649" si="217">G1643*AP1643</f>
        <v>0</v>
      </c>
      <c r="AY1643" s="94" t="s">
        <v>1893</v>
      </c>
      <c r="AZ1643" s="94" t="s">
        <v>1649</v>
      </c>
      <c r="BA1643" s="88" t="s">
        <v>67</v>
      </c>
      <c r="BC1643" s="93">
        <f t="shared" ref="BC1643:BC1649" si="218">AW1643+AX1643</f>
        <v>0</v>
      </c>
      <c r="BD1643" s="93">
        <f t="shared" ref="BD1643:BD1649" si="219">H1643/(100-BE1643)*100</f>
        <v>0</v>
      </c>
      <c r="BE1643" s="93">
        <v>0</v>
      </c>
      <c r="BF1643" s="93">
        <f t="shared" ref="BF1643:BF1649" si="220">O1643</f>
        <v>0</v>
      </c>
      <c r="BH1643" s="93">
        <f t="shared" ref="BH1643:BH1649" si="221">G1643*AO1643</f>
        <v>0</v>
      </c>
      <c r="BI1643" s="93">
        <f t="shared" ref="BI1643:BI1649" si="222">G1643*AP1643</f>
        <v>0</v>
      </c>
      <c r="BJ1643" s="93">
        <f t="shared" ref="BJ1643:BJ1649" si="223">G1643*H1643</f>
        <v>0</v>
      </c>
      <c r="BK1643" s="93"/>
      <c r="BL1643" s="93"/>
      <c r="BW1643" s="93" t="str">
        <f t="shared" ref="BW1643:BW1649" si="224">I1643</f>
        <v>21</v>
      </c>
      <c r="BX1643" s="2" t="s">
        <v>1892</v>
      </c>
    </row>
    <row r="1644" spans="1:76" s="81" customFormat="1" ht="25.5" x14ac:dyDescent="0.25">
      <c r="A1644" s="66" t="s">
        <v>1897</v>
      </c>
      <c r="B1644" s="72" t="s">
        <v>55</v>
      </c>
      <c r="C1644" s="72" t="s">
        <v>1895</v>
      </c>
      <c r="D1644" s="174" t="s">
        <v>1896</v>
      </c>
      <c r="E1644" s="174"/>
      <c r="F1644" s="72" t="s">
        <v>203</v>
      </c>
      <c r="G1644" s="90">
        <v>1</v>
      </c>
      <c r="H1644" s="91"/>
      <c r="I1644" s="92" t="s">
        <v>63</v>
      </c>
      <c r="J1644" s="90">
        <f t="shared" si="197"/>
        <v>0</v>
      </c>
      <c r="K1644" s="90">
        <f t="shared" si="198"/>
        <v>0</v>
      </c>
      <c r="L1644" s="90">
        <f t="shared" si="199"/>
        <v>0</v>
      </c>
      <c r="M1644" s="90">
        <f t="shared" si="200"/>
        <v>0</v>
      </c>
      <c r="N1644" s="90">
        <v>0</v>
      </c>
      <c r="O1644" s="90">
        <f t="shared" si="201"/>
        <v>0</v>
      </c>
      <c r="P1644" s="92" t="s">
        <v>1647</v>
      </c>
      <c r="Z1644" s="93">
        <f t="shared" si="202"/>
        <v>0</v>
      </c>
      <c r="AB1644" s="93">
        <f t="shared" si="203"/>
        <v>0</v>
      </c>
      <c r="AC1644" s="93">
        <f t="shared" si="204"/>
        <v>0</v>
      </c>
      <c r="AD1644" s="93">
        <f t="shared" si="205"/>
        <v>0</v>
      </c>
      <c r="AE1644" s="93">
        <f t="shared" si="206"/>
        <v>0</v>
      </c>
      <c r="AF1644" s="93">
        <f t="shared" si="207"/>
        <v>0</v>
      </c>
      <c r="AG1644" s="93">
        <f t="shared" si="208"/>
        <v>0</v>
      </c>
      <c r="AH1644" s="93">
        <f t="shared" si="209"/>
        <v>0</v>
      </c>
      <c r="AI1644" s="88" t="s">
        <v>55</v>
      </c>
      <c r="AJ1644" s="93">
        <f t="shared" si="210"/>
        <v>0</v>
      </c>
      <c r="AK1644" s="93">
        <f t="shared" si="211"/>
        <v>0</v>
      </c>
      <c r="AL1644" s="93">
        <f t="shared" si="212"/>
        <v>0</v>
      </c>
      <c r="AN1644" s="93">
        <v>21</v>
      </c>
      <c r="AO1644" s="93">
        <f t="shared" si="213"/>
        <v>0</v>
      </c>
      <c r="AP1644" s="93">
        <f t="shared" si="214"/>
        <v>0</v>
      </c>
      <c r="AQ1644" s="94" t="s">
        <v>148</v>
      </c>
      <c r="AV1644" s="93">
        <f t="shared" si="215"/>
        <v>0</v>
      </c>
      <c r="AW1644" s="93">
        <f t="shared" si="216"/>
        <v>0</v>
      </c>
      <c r="AX1644" s="93">
        <f t="shared" si="217"/>
        <v>0</v>
      </c>
      <c r="AY1644" s="94" t="s">
        <v>1893</v>
      </c>
      <c r="AZ1644" s="94" t="s">
        <v>1649</v>
      </c>
      <c r="BA1644" s="88" t="s">
        <v>67</v>
      </c>
      <c r="BC1644" s="93">
        <f t="shared" si="218"/>
        <v>0</v>
      </c>
      <c r="BD1644" s="93">
        <f t="shared" si="219"/>
        <v>0</v>
      </c>
      <c r="BE1644" s="93">
        <v>0</v>
      </c>
      <c r="BF1644" s="93">
        <f t="shared" si="220"/>
        <v>0</v>
      </c>
      <c r="BH1644" s="93">
        <f t="shared" si="221"/>
        <v>0</v>
      </c>
      <c r="BI1644" s="93">
        <f t="shared" si="222"/>
        <v>0</v>
      </c>
      <c r="BJ1644" s="93">
        <f t="shared" si="223"/>
        <v>0</v>
      </c>
      <c r="BK1644" s="93"/>
      <c r="BL1644" s="93"/>
      <c r="BW1644" s="93" t="str">
        <f t="shared" si="224"/>
        <v>21</v>
      </c>
      <c r="BX1644" s="2" t="s">
        <v>1896</v>
      </c>
    </row>
    <row r="1645" spans="1:76" s="81" customFormat="1" ht="25.5" x14ac:dyDescent="0.25">
      <c r="A1645" s="66" t="s">
        <v>1899</v>
      </c>
      <c r="B1645" s="72" t="s">
        <v>55</v>
      </c>
      <c r="C1645" s="72" t="s">
        <v>1898</v>
      </c>
      <c r="D1645" s="174" t="s">
        <v>1880</v>
      </c>
      <c r="E1645" s="174"/>
      <c r="F1645" s="72" t="s">
        <v>203</v>
      </c>
      <c r="G1645" s="90">
        <v>7</v>
      </c>
      <c r="H1645" s="91"/>
      <c r="I1645" s="92" t="s">
        <v>63</v>
      </c>
      <c r="J1645" s="90">
        <f t="shared" si="197"/>
        <v>0</v>
      </c>
      <c r="K1645" s="90">
        <f t="shared" si="198"/>
        <v>0</v>
      </c>
      <c r="L1645" s="90">
        <f t="shared" si="199"/>
        <v>0</v>
      </c>
      <c r="M1645" s="90">
        <f t="shared" si="200"/>
        <v>0</v>
      </c>
      <c r="N1645" s="90">
        <v>0</v>
      </c>
      <c r="O1645" s="90">
        <f t="shared" si="201"/>
        <v>0</v>
      </c>
      <c r="P1645" s="92" t="s">
        <v>1647</v>
      </c>
      <c r="Z1645" s="93">
        <f t="shared" si="202"/>
        <v>0</v>
      </c>
      <c r="AB1645" s="93">
        <f t="shared" si="203"/>
        <v>0</v>
      </c>
      <c r="AC1645" s="93">
        <f t="shared" si="204"/>
        <v>0</v>
      </c>
      <c r="AD1645" s="93">
        <f t="shared" si="205"/>
        <v>0</v>
      </c>
      <c r="AE1645" s="93">
        <f t="shared" si="206"/>
        <v>0</v>
      </c>
      <c r="AF1645" s="93">
        <f t="shared" si="207"/>
        <v>0</v>
      </c>
      <c r="AG1645" s="93">
        <f t="shared" si="208"/>
        <v>0</v>
      </c>
      <c r="AH1645" s="93">
        <f t="shared" si="209"/>
        <v>0</v>
      </c>
      <c r="AI1645" s="88" t="s">
        <v>55</v>
      </c>
      <c r="AJ1645" s="93">
        <f t="shared" si="210"/>
        <v>0</v>
      </c>
      <c r="AK1645" s="93">
        <f t="shared" si="211"/>
        <v>0</v>
      </c>
      <c r="AL1645" s="93">
        <f t="shared" si="212"/>
        <v>0</v>
      </c>
      <c r="AN1645" s="93">
        <v>21</v>
      </c>
      <c r="AO1645" s="93">
        <f t="shared" si="213"/>
        <v>0</v>
      </c>
      <c r="AP1645" s="93">
        <f t="shared" si="214"/>
        <v>0</v>
      </c>
      <c r="AQ1645" s="94" t="s">
        <v>148</v>
      </c>
      <c r="AV1645" s="93">
        <f t="shared" si="215"/>
        <v>0</v>
      </c>
      <c r="AW1645" s="93">
        <f t="shared" si="216"/>
        <v>0</v>
      </c>
      <c r="AX1645" s="93">
        <f t="shared" si="217"/>
        <v>0</v>
      </c>
      <c r="AY1645" s="94" t="s">
        <v>1893</v>
      </c>
      <c r="AZ1645" s="94" t="s">
        <v>1649</v>
      </c>
      <c r="BA1645" s="88" t="s">
        <v>67</v>
      </c>
      <c r="BC1645" s="93">
        <f t="shared" si="218"/>
        <v>0</v>
      </c>
      <c r="BD1645" s="93">
        <f t="shared" si="219"/>
        <v>0</v>
      </c>
      <c r="BE1645" s="93">
        <v>0</v>
      </c>
      <c r="BF1645" s="93">
        <f t="shared" si="220"/>
        <v>0</v>
      </c>
      <c r="BH1645" s="93">
        <f t="shared" si="221"/>
        <v>0</v>
      </c>
      <c r="BI1645" s="93">
        <f t="shared" si="222"/>
        <v>0</v>
      </c>
      <c r="BJ1645" s="93">
        <f t="shared" si="223"/>
        <v>0</v>
      </c>
      <c r="BK1645" s="93"/>
      <c r="BL1645" s="93"/>
      <c r="BW1645" s="93" t="str">
        <f t="shared" si="224"/>
        <v>21</v>
      </c>
      <c r="BX1645" s="2" t="s">
        <v>1880</v>
      </c>
    </row>
    <row r="1646" spans="1:76" s="81" customFormat="1" ht="25.5" x14ac:dyDescent="0.25">
      <c r="A1646" s="66" t="s">
        <v>1902</v>
      </c>
      <c r="B1646" s="72" t="s">
        <v>55</v>
      </c>
      <c r="C1646" s="72" t="s">
        <v>1900</v>
      </c>
      <c r="D1646" s="174" t="s">
        <v>1901</v>
      </c>
      <c r="E1646" s="174"/>
      <c r="F1646" s="72" t="s">
        <v>203</v>
      </c>
      <c r="G1646" s="90">
        <v>1</v>
      </c>
      <c r="H1646" s="91"/>
      <c r="I1646" s="92" t="s">
        <v>63</v>
      </c>
      <c r="J1646" s="90">
        <f t="shared" si="197"/>
        <v>0</v>
      </c>
      <c r="K1646" s="90">
        <f t="shared" si="198"/>
        <v>0</v>
      </c>
      <c r="L1646" s="90">
        <f t="shared" si="199"/>
        <v>0</v>
      </c>
      <c r="M1646" s="90">
        <f t="shared" si="200"/>
        <v>0</v>
      </c>
      <c r="N1646" s="90">
        <v>0</v>
      </c>
      <c r="O1646" s="90">
        <f t="shared" si="201"/>
        <v>0</v>
      </c>
      <c r="P1646" s="92" t="s">
        <v>1647</v>
      </c>
      <c r="Z1646" s="93">
        <f t="shared" si="202"/>
        <v>0</v>
      </c>
      <c r="AB1646" s="93">
        <f t="shared" si="203"/>
        <v>0</v>
      </c>
      <c r="AC1646" s="93">
        <f t="shared" si="204"/>
        <v>0</v>
      </c>
      <c r="AD1646" s="93">
        <f t="shared" si="205"/>
        <v>0</v>
      </c>
      <c r="AE1646" s="93">
        <f t="shared" si="206"/>
        <v>0</v>
      </c>
      <c r="AF1646" s="93">
        <f t="shared" si="207"/>
        <v>0</v>
      </c>
      <c r="AG1646" s="93">
        <f t="shared" si="208"/>
        <v>0</v>
      </c>
      <c r="AH1646" s="93">
        <f t="shared" si="209"/>
        <v>0</v>
      </c>
      <c r="AI1646" s="88" t="s">
        <v>55</v>
      </c>
      <c r="AJ1646" s="93">
        <f t="shared" si="210"/>
        <v>0</v>
      </c>
      <c r="AK1646" s="93">
        <f t="shared" si="211"/>
        <v>0</v>
      </c>
      <c r="AL1646" s="93">
        <f t="shared" si="212"/>
        <v>0</v>
      </c>
      <c r="AN1646" s="93">
        <v>21</v>
      </c>
      <c r="AO1646" s="93">
        <f t="shared" si="213"/>
        <v>0</v>
      </c>
      <c r="AP1646" s="93">
        <f t="shared" si="214"/>
        <v>0</v>
      </c>
      <c r="AQ1646" s="94" t="s">
        <v>148</v>
      </c>
      <c r="AV1646" s="93">
        <f t="shared" si="215"/>
        <v>0</v>
      </c>
      <c r="AW1646" s="93">
        <f t="shared" si="216"/>
        <v>0</v>
      </c>
      <c r="AX1646" s="93">
        <f t="shared" si="217"/>
        <v>0</v>
      </c>
      <c r="AY1646" s="94" t="s">
        <v>1893</v>
      </c>
      <c r="AZ1646" s="94" t="s">
        <v>1649</v>
      </c>
      <c r="BA1646" s="88" t="s">
        <v>67</v>
      </c>
      <c r="BC1646" s="93">
        <f t="shared" si="218"/>
        <v>0</v>
      </c>
      <c r="BD1646" s="93">
        <f t="shared" si="219"/>
        <v>0</v>
      </c>
      <c r="BE1646" s="93">
        <v>0</v>
      </c>
      <c r="BF1646" s="93">
        <f t="shared" si="220"/>
        <v>0</v>
      </c>
      <c r="BH1646" s="93">
        <f t="shared" si="221"/>
        <v>0</v>
      </c>
      <c r="BI1646" s="93">
        <f t="shared" si="222"/>
        <v>0</v>
      </c>
      <c r="BJ1646" s="93">
        <f t="shared" si="223"/>
        <v>0</v>
      </c>
      <c r="BK1646" s="93"/>
      <c r="BL1646" s="93"/>
      <c r="BW1646" s="93" t="str">
        <f t="shared" si="224"/>
        <v>21</v>
      </c>
      <c r="BX1646" s="2" t="s">
        <v>1901</v>
      </c>
    </row>
    <row r="1647" spans="1:76" s="81" customFormat="1" ht="25.5" x14ac:dyDescent="0.25">
      <c r="A1647" s="66" t="s">
        <v>1905</v>
      </c>
      <c r="B1647" s="72" t="s">
        <v>55</v>
      </c>
      <c r="C1647" s="72" t="s">
        <v>1903</v>
      </c>
      <c r="D1647" s="174" t="s">
        <v>1904</v>
      </c>
      <c r="E1647" s="174"/>
      <c r="F1647" s="72" t="s">
        <v>203</v>
      </c>
      <c r="G1647" s="90">
        <v>1</v>
      </c>
      <c r="H1647" s="91"/>
      <c r="I1647" s="92" t="s">
        <v>63</v>
      </c>
      <c r="J1647" s="90">
        <f t="shared" si="197"/>
        <v>0</v>
      </c>
      <c r="K1647" s="90">
        <f t="shared" si="198"/>
        <v>0</v>
      </c>
      <c r="L1647" s="90">
        <f t="shared" si="199"/>
        <v>0</v>
      </c>
      <c r="M1647" s="90">
        <f t="shared" si="200"/>
        <v>0</v>
      </c>
      <c r="N1647" s="90">
        <v>0</v>
      </c>
      <c r="O1647" s="90">
        <f t="shared" si="201"/>
        <v>0</v>
      </c>
      <c r="P1647" s="92" t="s">
        <v>1647</v>
      </c>
      <c r="Z1647" s="93">
        <f t="shared" si="202"/>
        <v>0</v>
      </c>
      <c r="AB1647" s="93">
        <f t="shared" si="203"/>
        <v>0</v>
      </c>
      <c r="AC1647" s="93">
        <f t="shared" si="204"/>
        <v>0</v>
      </c>
      <c r="AD1647" s="93">
        <f t="shared" si="205"/>
        <v>0</v>
      </c>
      <c r="AE1647" s="93">
        <f t="shared" si="206"/>
        <v>0</v>
      </c>
      <c r="AF1647" s="93">
        <f t="shared" si="207"/>
        <v>0</v>
      </c>
      <c r="AG1647" s="93">
        <f t="shared" si="208"/>
        <v>0</v>
      </c>
      <c r="AH1647" s="93">
        <f t="shared" si="209"/>
        <v>0</v>
      </c>
      <c r="AI1647" s="88" t="s">
        <v>55</v>
      </c>
      <c r="AJ1647" s="93">
        <f t="shared" si="210"/>
        <v>0</v>
      </c>
      <c r="AK1647" s="93">
        <f t="shared" si="211"/>
        <v>0</v>
      </c>
      <c r="AL1647" s="93">
        <f t="shared" si="212"/>
        <v>0</v>
      </c>
      <c r="AN1647" s="93">
        <v>21</v>
      </c>
      <c r="AO1647" s="93">
        <f t="shared" si="213"/>
        <v>0</v>
      </c>
      <c r="AP1647" s="93">
        <f t="shared" si="214"/>
        <v>0</v>
      </c>
      <c r="AQ1647" s="94" t="s">
        <v>148</v>
      </c>
      <c r="AV1647" s="93">
        <f t="shared" si="215"/>
        <v>0</v>
      </c>
      <c r="AW1647" s="93">
        <f t="shared" si="216"/>
        <v>0</v>
      </c>
      <c r="AX1647" s="93">
        <f t="shared" si="217"/>
        <v>0</v>
      </c>
      <c r="AY1647" s="94" t="s">
        <v>1893</v>
      </c>
      <c r="AZ1647" s="94" t="s">
        <v>1649</v>
      </c>
      <c r="BA1647" s="88" t="s">
        <v>67</v>
      </c>
      <c r="BC1647" s="93">
        <f t="shared" si="218"/>
        <v>0</v>
      </c>
      <c r="BD1647" s="93">
        <f t="shared" si="219"/>
        <v>0</v>
      </c>
      <c r="BE1647" s="93">
        <v>0</v>
      </c>
      <c r="BF1647" s="93">
        <f t="shared" si="220"/>
        <v>0</v>
      </c>
      <c r="BH1647" s="93">
        <f t="shared" si="221"/>
        <v>0</v>
      </c>
      <c r="BI1647" s="93">
        <f t="shared" si="222"/>
        <v>0</v>
      </c>
      <c r="BJ1647" s="93">
        <f t="shared" si="223"/>
        <v>0</v>
      </c>
      <c r="BK1647" s="93"/>
      <c r="BL1647" s="93"/>
      <c r="BW1647" s="93" t="str">
        <f t="shared" si="224"/>
        <v>21</v>
      </c>
      <c r="BX1647" s="2" t="s">
        <v>1904</v>
      </c>
    </row>
    <row r="1648" spans="1:76" s="81" customFormat="1" ht="25.5" x14ac:dyDescent="0.25">
      <c r="A1648" s="66" t="s">
        <v>1907</v>
      </c>
      <c r="B1648" s="72" t="s">
        <v>55</v>
      </c>
      <c r="C1648" s="72" t="s">
        <v>1906</v>
      </c>
      <c r="D1648" s="174" t="s">
        <v>1689</v>
      </c>
      <c r="E1648" s="174"/>
      <c r="F1648" s="72" t="s">
        <v>1671</v>
      </c>
      <c r="G1648" s="90">
        <v>30</v>
      </c>
      <c r="H1648" s="91"/>
      <c r="I1648" s="92" t="s">
        <v>63</v>
      </c>
      <c r="J1648" s="90">
        <f t="shared" si="197"/>
        <v>0</v>
      </c>
      <c r="K1648" s="90">
        <f t="shared" si="198"/>
        <v>0</v>
      </c>
      <c r="L1648" s="90">
        <f t="shared" si="199"/>
        <v>0</v>
      </c>
      <c r="M1648" s="90">
        <f t="shared" si="200"/>
        <v>0</v>
      </c>
      <c r="N1648" s="90">
        <v>0</v>
      </c>
      <c r="O1648" s="90">
        <f t="shared" si="201"/>
        <v>0</v>
      </c>
      <c r="P1648" s="92" t="s">
        <v>1647</v>
      </c>
      <c r="Z1648" s="93">
        <f t="shared" si="202"/>
        <v>0</v>
      </c>
      <c r="AB1648" s="93">
        <f t="shared" si="203"/>
        <v>0</v>
      </c>
      <c r="AC1648" s="93">
        <f t="shared" si="204"/>
        <v>0</v>
      </c>
      <c r="AD1648" s="93">
        <f t="shared" si="205"/>
        <v>0</v>
      </c>
      <c r="AE1648" s="93">
        <f t="shared" si="206"/>
        <v>0</v>
      </c>
      <c r="AF1648" s="93">
        <f t="shared" si="207"/>
        <v>0</v>
      </c>
      <c r="AG1648" s="93">
        <f t="shared" si="208"/>
        <v>0</v>
      </c>
      <c r="AH1648" s="93">
        <f t="shared" si="209"/>
        <v>0</v>
      </c>
      <c r="AI1648" s="88" t="s">
        <v>55</v>
      </c>
      <c r="AJ1648" s="93">
        <f t="shared" si="210"/>
        <v>0</v>
      </c>
      <c r="AK1648" s="93">
        <f t="shared" si="211"/>
        <v>0</v>
      </c>
      <c r="AL1648" s="93">
        <f t="shared" si="212"/>
        <v>0</v>
      </c>
      <c r="AN1648" s="93">
        <v>21</v>
      </c>
      <c r="AO1648" s="93">
        <f t="shared" si="213"/>
        <v>0</v>
      </c>
      <c r="AP1648" s="93">
        <f t="shared" si="214"/>
        <v>0</v>
      </c>
      <c r="AQ1648" s="94" t="s">
        <v>148</v>
      </c>
      <c r="AV1648" s="93">
        <f t="shared" si="215"/>
        <v>0</v>
      </c>
      <c r="AW1648" s="93">
        <f t="shared" si="216"/>
        <v>0</v>
      </c>
      <c r="AX1648" s="93">
        <f t="shared" si="217"/>
        <v>0</v>
      </c>
      <c r="AY1648" s="94" t="s">
        <v>1893</v>
      </c>
      <c r="AZ1648" s="94" t="s">
        <v>1649</v>
      </c>
      <c r="BA1648" s="88" t="s">
        <v>67</v>
      </c>
      <c r="BC1648" s="93">
        <f t="shared" si="218"/>
        <v>0</v>
      </c>
      <c r="BD1648" s="93">
        <f t="shared" si="219"/>
        <v>0</v>
      </c>
      <c r="BE1648" s="93">
        <v>0</v>
      </c>
      <c r="BF1648" s="93">
        <f t="shared" si="220"/>
        <v>0</v>
      </c>
      <c r="BH1648" s="93">
        <f t="shared" si="221"/>
        <v>0</v>
      </c>
      <c r="BI1648" s="93">
        <f t="shared" si="222"/>
        <v>0</v>
      </c>
      <c r="BJ1648" s="93">
        <f t="shared" si="223"/>
        <v>0</v>
      </c>
      <c r="BK1648" s="93"/>
      <c r="BL1648" s="93"/>
      <c r="BW1648" s="93" t="str">
        <f t="shared" si="224"/>
        <v>21</v>
      </c>
      <c r="BX1648" s="2" t="s">
        <v>1689</v>
      </c>
    </row>
    <row r="1649" spans="1:76" s="81" customFormat="1" ht="25.5" x14ac:dyDescent="0.25">
      <c r="A1649" s="66" t="s">
        <v>1911</v>
      </c>
      <c r="B1649" s="72" t="s">
        <v>55</v>
      </c>
      <c r="C1649" s="72" t="s">
        <v>1908</v>
      </c>
      <c r="D1649" s="174" t="s">
        <v>1710</v>
      </c>
      <c r="E1649" s="174"/>
      <c r="F1649" s="72" t="s">
        <v>1332</v>
      </c>
      <c r="G1649" s="90">
        <v>1</v>
      </c>
      <c r="H1649" s="91"/>
      <c r="I1649" s="92" t="s">
        <v>63</v>
      </c>
      <c r="J1649" s="90">
        <f t="shared" si="197"/>
        <v>0</v>
      </c>
      <c r="K1649" s="90">
        <f t="shared" si="198"/>
        <v>0</v>
      </c>
      <c r="L1649" s="90">
        <f t="shared" si="199"/>
        <v>0</v>
      </c>
      <c r="M1649" s="90">
        <f t="shared" si="200"/>
        <v>0</v>
      </c>
      <c r="N1649" s="90">
        <v>0</v>
      </c>
      <c r="O1649" s="90">
        <f t="shared" si="201"/>
        <v>0</v>
      </c>
      <c r="P1649" s="92" t="s">
        <v>1647</v>
      </c>
      <c r="Z1649" s="93">
        <f t="shared" si="202"/>
        <v>0</v>
      </c>
      <c r="AB1649" s="93">
        <f t="shared" si="203"/>
        <v>0</v>
      </c>
      <c r="AC1649" s="93">
        <f t="shared" si="204"/>
        <v>0</v>
      </c>
      <c r="AD1649" s="93">
        <f t="shared" si="205"/>
        <v>0</v>
      </c>
      <c r="AE1649" s="93">
        <f t="shared" si="206"/>
        <v>0</v>
      </c>
      <c r="AF1649" s="93">
        <f t="shared" si="207"/>
        <v>0</v>
      </c>
      <c r="AG1649" s="93">
        <f t="shared" si="208"/>
        <v>0</v>
      </c>
      <c r="AH1649" s="93">
        <f t="shared" si="209"/>
        <v>0</v>
      </c>
      <c r="AI1649" s="88" t="s">
        <v>55</v>
      </c>
      <c r="AJ1649" s="93">
        <f t="shared" si="210"/>
        <v>0</v>
      </c>
      <c r="AK1649" s="93">
        <f t="shared" si="211"/>
        <v>0</v>
      </c>
      <c r="AL1649" s="93">
        <f t="shared" si="212"/>
        <v>0</v>
      </c>
      <c r="AN1649" s="93">
        <v>21</v>
      </c>
      <c r="AO1649" s="93">
        <f t="shared" si="213"/>
        <v>0</v>
      </c>
      <c r="AP1649" s="93">
        <f t="shared" si="214"/>
        <v>0</v>
      </c>
      <c r="AQ1649" s="94" t="s">
        <v>148</v>
      </c>
      <c r="AV1649" s="93">
        <f t="shared" si="215"/>
        <v>0</v>
      </c>
      <c r="AW1649" s="93">
        <f t="shared" si="216"/>
        <v>0</v>
      </c>
      <c r="AX1649" s="93">
        <f t="shared" si="217"/>
        <v>0</v>
      </c>
      <c r="AY1649" s="94" t="s">
        <v>1893</v>
      </c>
      <c r="AZ1649" s="94" t="s">
        <v>1649</v>
      </c>
      <c r="BA1649" s="88" t="s">
        <v>67</v>
      </c>
      <c r="BC1649" s="93">
        <f t="shared" si="218"/>
        <v>0</v>
      </c>
      <c r="BD1649" s="93">
        <f t="shared" si="219"/>
        <v>0</v>
      </c>
      <c r="BE1649" s="93">
        <v>0</v>
      </c>
      <c r="BF1649" s="93">
        <f t="shared" si="220"/>
        <v>0</v>
      </c>
      <c r="BH1649" s="93">
        <f t="shared" si="221"/>
        <v>0</v>
      </c>
      <c r="BI1649" s="93">
        <f t="shared" si="222"/>
        <v>0</v>
      </c>
      <c r="BJ1649" s="93">
        <f t="shared" si="223"/>
        <v>0</v>
      </c>
      <c r="BK1649" s="93"/>
      <c r="BL1649" s="93"/>
      <c r="BW1649" s="93" t="str">
        <f t="shared" si="224"/>
        <v>21</v>
      </c>
      <c r="BX1649" s="2" t="s">
        <v>1710</v>
      </c>
    </row>
    <row r="1650" spans="1:76" s="81" customFormat="1" x14ac:dyDescent="0.25">
      <c r="A1650" s="109" t="s">
        <v>54</v>
      </c>
      <c r="B1650" s="74" t="s">
        <v>55</v>
      </c>
      <c r="C1650" s="74" t="s">
        <v>1909</v>
      </c>
      <c r="D1650" s="180" t="s">
        <v>1910</v>
      </c>
      <c r="E1650" s="180"/>
      <c r="F1650" s="85" t="s">
        <v>4</v>
      </c>
      <c r="G1650" s="85" t="s">
        <v>4</v>
      </c>
      <c r="H1650" s="98"/>
      <c r="I1650" s="85" t="s">
        <v>4</v>
      </c>
      <c r="J1650" s="86">
        <f>SUM(J1651:J1673)</f>
        <v>0</v>
      </c>
      <c r="K1650" s="86">
        <f>SUM(K1651:K1673)</f>
        <v>0</v>
      </c>
      <c r="L1650" s="86">
        <f>SUM(L1651:L1673)</f>
        <v>0</v>
      </c>
      <c r="M1650" s="86">
        <f>SUM(M1651:M1673)</f>
        <v>0</v>
      </c>
      <c r="N1650" s="87" t="s">
        <v>54</v>
      </c>
      <c r="O1650" s="86">
        <f>SUM(O1651:O1673)</f>
        <v>0.10897999999999999</v>
      </c>
      <c r="P1650" s="87" t="s">
        <v>54</v>
      </c>
      <c r="AI1650" s="88" t="s">
        <v>55</v>
      </c>
      <c r="AS1650" s="89">
        <f>SUM(AJ1651:AJ1673)</f>
        <v>0</v>
      </c>
      <c r="AT1650" s="89">
        <f>SUM(AK1651:AK1673)</f>
        <v>0</v>
      </c>
      <c r="AU1650" s="89">
        <f>SUM(AL1651:AL1673)</f>
        <v>0</v>
      </c>
    </row>
    <row r="1651" spans="1:76" s="81" customFormat="1" ht="25.5" x14ac:dyDescent="0.25">
      <c r="A1651" s="66" t="s">
        <v>1916</v>
      </c>
      <c r="B1651" s="72" t="s">
        <v>55</v>
      </c>
      <c r="C1651" s="72" t="s">
        <v>1912</v>
      </c>
      <c r="D1651" s="174" t="s">
        <v>1913</v>
      </c>
      <c r="E1651" s="174"/>
      <c r="F1651" s="72" t="s">
        <v>1332</v>
      </c>
      <c r="G1651" s="90">
        <v>2</v>
      </c>
      <c r="H1651" s="91"/>
      <c r="I1651" s="92" t="s">
        <v>63</v>
      </c>
      <c r="J1651" s="90">
        <f t="shared" ref="J1651:J1669" si="225">G1651*AO1651</f>
        <v>0</v>
      </c>
      <c r="K1651" s="90">
        <f t="shared" ref="K1651:K1669" si="226">G1651*AP1651</f>
        <v>0</v>
      </c>
      <c r="L1651" s="90">
        <f t="shared" ref="L1651:L1669" si="227">G1651*H1651</f>
        <v>0</v>
      </c>
      <c r="M1651" s="90">
        <f t="shared" ref="M1651:M1669" si="228">L1651*(1+BW1651/100)</f>
        <v>0</v>
      </c>
      <c r="N1651" s="90">
        <v>5.2999999999999998E-4</v>
      </c>
      <c r="O1651" s="90">
        <f t="shared" ref="O1651:O1669" si="229">G1651*N1651</f>
        <v>1.06E-3</v>
      </c>
      <c r="P1651" s="92" t="s">
        <v>64</v>
      </c>
      <c r="Z1651" s="93">
        <f t="shared" ref="Z1651:Z1669" si="230">IF(AQ1651="5",BJ1651,0)</f>
        <v>0</v>
      </c>
      <c r="AB1651" s="93">
        <f t="shared" ref="AB1651:AB1669" si="231">IF(AQ1651="1",BH1651,0)</f>
        <v>0</v>
      </c>
      <c r="AC1651" s="93">
        <f t="shared" ref="AC1651:AC1669" si="232">IF(AQ1651="1",BI1651,0)</f>
        <v>0</v>
      </c>
      <c r="AD1651" s="93">
        <f t="shared" ref="AD1651:AD1669" si="233">IF(AQ1651="7",BH1651,0)</f>
        <v>0</v>
      </c>
      <c r="AE1651" s="93">
        <f t="shared" ref="AE1651:AE1669" si="234">IF(AQ1651="7",BI1651,0)</f>
        <v>0</v>
      </c>
      <c r="AF1651" s="93">
        <f t="shared" ref="AF1651:AF1669" si="235">IF(AQ1651="2",BH1651,0)</f>
        <v>0</v>
      </c>
      <c r="AG1651" s="93">
        <f t="shared" ref="AG1651:AG1669" si="236">IF(AQ1651="2",BI1651,0)</f>
        <v>0</v>
      </c>
      <c r="AH1651" s="93">
        <f t="shared" ref="AH1651:AH1669" si="237">IF(AQ1651="0",BJ1651,0)</f>
        <v>0</v>
      </c>
      <c r="AI1651" s="88" t="s">
        <v>55</v>
      </c>
      <c r="AJ1651" s="93">
        <f t="shared" ref="AJ1651:AJ1669" si="238">IF(AN1651=0,L1651,0)</f>
        <v>0</v>
      </c>
      <c r="AK1651" s="93">
        <f t="shared" ref="AK1651:AK1669" si="239">IF(AN1651=12,L1651,0)</f>
        <v>0</v>
      </c>
      <c r="AL1651" s="93">
        <f t="shared" ref="AL1651:AL1669" si="240">IF(AN1651=21,L1651,0)</f>
        <v>0</v>
      </c>
      <c r="AN1651" s="93">
        <v>21</v>
      </c>
      <c r="AO1651" s="93">
        <f>H1651*0.536677632</f>
        <v>0</v>
      </c>
      <c r="AP1651" s="93">
        <f>H1651*(1-0.536677632)</f>
        <v>0</v>
      </c>
      <c r="AQ1651" s="94" t="s">
        <v>148</v>
      </c>
      <c r="AV1651" s="93">
        <f t="shared" ref="AV1651:AV1669" si="241">AW1651+AX1651</f>
        <v>0</v>
      </c>
      <c r="AW1651" s="93">
        <f t="shared" ref="AW1651:AW1669" si="242">G1651*AO1651</f>
        <v>0</v>
      </c>
      <c r="AX1651" s="93">
        <f t="shared" ref="AX1651:AX1669" si="243">G1651*AP1651</f>
        <v>0</v>
      </c>
      <c r="AY1651" s="94" t="s">
        <v>1914</v>
      </c>
      <c r="AZ1651" s="94" t="s">
        <v>1915</v>
      </c>
      <c r="BA1651" s="88" t="s">
        <v>67</v>
      </c>
      <c r="BC1651" s="93">
        <f t="shared" ref="BC1651:BC1669" si="244">AW1651+AX1651</f>
        <v>0</v>
      </c>
      <c r="BD1651" s="93">
        <f t="shared" ref="BD1651:BD1669" si="245">H1651/(100-BE1651)*100</f>
        <v>0</v>
      </c>
      <c r="BE1651" s="93">
        <v>0</v>
      </c>
      <c r="BF1651" s="93">
        <f t="shared" ref="BF1651:BF1669" si="246">O1651</f>
        <v>1.06E-3</v>
      </c>
      <c r="BH1651" s="93">
        <f t="shared" ref="BH1651:BH1669" si="247">G1651*AO1651</f>
        <v>0</v>
      </c>
      <c r="BI1651" s="93">
        <f t="shared" ref="BI1651:BI1669" si="248">G1651*AP1651</f>
        <v>0</v>
      </c>
      <c r="BJ1651" s="93">
        <f t="shared" ref="BJ1651:BJ1669" si="249">G1651*H1651</f>
        <v>0</v>
      </c>
      <c r="BK1651" s="93"/>
      <c r="BL1651" s="93">
        <v>732</v>
      </c>
      <c r="BW1651" s="93" t="str">
        <f t="shared" ref="BW1651:BW1669" si="250">I1651</f>
        <v>21</v>
      </c>
      <c r="BX1651" s="2" t="s">
        <v>1913</v>
      </c>
    </row>
    <row r="1652" spans="1:76" s="81" customFormat="1" ht="25.5" x14ac:dyDescent="0.25">
      <c r="A1652" s="66" t="s">
        <v>1919</v>
      </c>
      <c r="B1652" s="72" t="s">
        <v>55</v>
      </c>
      <c r="C1652" s="72" t="s">
        <v>1917</v>
      </c>
      <c r="D1652" s="174" t="s">
        <v>1918</v>
      </c>
      <c r="E1652" s="174"/>
      <c r="F1652" s="72" t="s">
        <v>203</v>
      </c>
      <c r="G1652" s="90">
        <v>2</v>
      </c>
      <c r="H1652" s="91"/>
      <c r="I1652" s="92" t="s">
        <v>63</v>
      </c>
      <c r="J1652" s="90">
        <f t="shared" si="225"/>
        <v>0</v>
      </c>
      <c r="K1652" s="90">
        <f t="shared" si="226"/>
        <v>0</v>
      </c>
      <c r="L1652" s="90">
        <f t="shared" si="227"/>
        <v>0</v>
      </c>
      <c r="M1652" s="90">
        <f t="shared" si="228"/>
        <v>0</v>
      </c>
      <c r="N1652" s="90">
        <v>4.7999999999999996E-3</v>
      </c>
      <c r="O1652" s="90">
        <f t="shared" si="229"/>
        <v>9.5999999999999992E-3</v>
      </c>
      <c r="P1652" s="92" t="s">
        <v>64</v>
      </c>
      <c r="Z1652" s="93">
        <f t="shared" si="230"/>
        <v>0</v>
      </c>
      <c r="AB1652" s="93">
        <f t="shared" si="231"/>
        <v>0</v>
      </c>
      <c r="AC1652" s="93">
        <f t="shared" si="232"/>
        <v>0</v>
      </c>
      <c r="AD1652" s="93">
        <f t="shared" si="233"/>
        <v>0</v>
      </c>
      <c r="AE1652" s="93">
        <f t="shared" si="234"/>
        <v>0</v>
      </c>
      <c r="AF1652" s="93">
        <f t="shared" si="235"/>
        <v>0</v>
      </c>
      <c r="AG1652" s="93">
        <f t="shared" si="236"/>
        <v>0</v>
      </c>
      <c r="AH1652" s="93">
        <f t="shared" si="237"/>
        <v>0</v>
      </c>
      <c r="AI1652" s="88" t="s">
        <v>55</v>
      </c>
      <c r="AJ1652" s="93">
        <f t="shared" si="238"/>
        <v>0</v>
      </c>
      <c r="AK1652" s="93">
        <f t="shared" si="239"/>
        <v>0</v>
      </c>
      <c r="AL1652" s="93">
        <f t="shared" si="240"/>
        <v>0</v>
      </c>
      <c r="AN1652" s="93">
        <v>21</v>
      </c>
      <c r="AO1652" s="93">
        <f>H1652*1</f>
        <v>0</v>
      </c>
      <c r="AP1652" s="93">
        <f>H1652*(1-1)</f>
        <v>0</v>
      </c>
      <c r="AQ1652" s="94" t="s">
        <v>148</v>
      </c>
      <c r="AV1652" s="93">
        <f t="shared" si="241"/>
        <v>0</v>
      </c>
      <c r="AW1652" s="93">
        <f t="shared" si="242"/>
        <v>0</v>
      </c>
      <c r="AX1652" s="93">
        <f t="shared" si="243"/>
        <v>0</v>
      </c>
      <c r="AY1652" s="94" t="s">
        <v>1914</v>
      </c>
      <c r="AZ1652" s="94" t="s">
        <v>1915</v>
      </c>
      <c r="BA1652" s="88" t="s">
        <v>67</v>
      </c>
      <c r="BC1652" s="93">
        <f t="shared" si="244"/>
        <v>0</v>
      </c>
      <c r="BD1652" s="93">
        <f t="shared" si="245"/>
        <v>0</v>
      </c>
      <c r="BE1652" s="93">
        <v>0</v>
      </c>
      <c r="BF1652" s="93">
        <f t="shared" si="246"/>
        <v>9.5999999999999992E-3</v>
      </c>
      <c r="BH1652" s="93">
        <f t="shared" si="247"/>
        <v>0</v>
      </c>
      <c r="BI1652" s="93">
        <f t="shared" si="248"/>
        <v>0</v>
      </c>
      <c r="BJ1652" s="93">
        <f t="shared" si="249"/>
        <v>0</v>
      </c>
      <c r="BK1652" s="93"/>
      <c r="BL1652" s="93">
        <v>732</v>
      </c>
      <c r="BW1652" s="93" t="str">
        <f t="shared" si="250"/>
        <v>21</v>
      </c>
      <c r="BX1652" s="2" t="s">
        <v>1918</v>
      </c>
    </row>
    <row r="1653" spans="1:76" s="81" customFormat="1" ht="25.5" x14ac:dyDescent="0.25">
      <c r="A1653" s="66" t="s">
        <v>1922</v>
      </c>
      <c r="B1653" s="72" t="s">
        <v>55</v>
      </c>
      <c r="C1653" s="72" t="s">
        <v>1920</v>
      </c>
      <c r="D1653" s="174" t="s">
        <v>1921</v>
      </c>
      <c r="E1653" s="174"/>
      <c r="F1653" s="72" t="s">
        <v>1332</v>
      </c>
      <c r="G1653" s="90">
        <v>1</v>
      </c>
      <c r="H1653" s="91"/>
      <c r="I1653" s="92" t="s">
        <v>63</v>
      </c>
      <c r="J1653" s="90">
        <f t="shared" si="225"/>
        <v>0</v>
      </c>
      <c r="K1653" s="90">
        <f t="shared" si="226"/>
        <v>0</v>
      </c>
      <c r="L1653" s="90">
        <f t="shared" si="227"/>
        <v>0</v>
      </c>
      <c r="M1653" s="90">
        <f t="shared" si="228"/>
        <v>0</v>
      </c>
      <c r="N1653" s="90">
        <v>4.7600000000000003E-3</v>
      </c>
      <c r="O1653" s="90">
        <f t="shared" si="229"/>
        <v>4.7600000000000003E-3</v>
      </c>
      <c r="P1653" s="92" t="s">
        <v>64</v>
      </c>
      <c r="Z1653" s="93">
        <f t="shared" si="230"/>
        <v>0</v>
      </c>
      <c r="AB1653" s="93">
        <f t="shared" si="231"/>
        <v>0</v>
      </c>
      <c r="AC1653" s="93">
        <f t="shared" si="232"/>
        <v>0</v>
      </c>
      <c r="AD1653" s="93">
        <f t="shared" si="233"/>
        <v>0</v>
      </c>
      <c r="AE1653" s="93">
        <f t="shared" si="234"/>
        <v>0</v>
      </c>
      <c r="AF1653" s="93">
        <f t="shared" si="235"/>
        <v>0</v>
      </c>
      <c r="AG1653" s="93">
        <f t="shared" si="236"/>
        <v>0</v>
      </c>
      <c r="AH1653" s="93">
        <f t="shared" si="237"/>
        <v>0</v>
      </c>
      <c r="AI1653" s="88" t="s">
        <v>55</v>
      </c>
      <c r="AJ1653" s="93">
        <f t="shared" si="238"/>
        <v>0</v>
      </c>
      <c r="AK1653" s="93">
        <f t="shared" si="239"/>
        <v>0</v>
      </c>
      <c r="AL1653" s="93">
        <f t="shared" si="240"/>
        <v>0</v>
      </c>
      <c r="AN1653" s="93">
        <v>21</v>
      </c>
      <c r="AO1653" s="93">
        <f>H1653*0.329936102</f>
        <v>0</v>
      </c>
      <c r="AP1653" s="93">
        <f>H1653*(1-0.329936102)</f>
        <v>0</v>
      </c>
      <c r="AQ1653" s="94" t="s">
        <v>148</v>
      </c>
      <c r="AV1653" s="93">
        <f t="shared" si="241"/>
        <v>0</v>
      </c>
      <c r="AW1653" s="93">
        <f t="shared" si="242"/>
        <v>0</v>
      </c>
      <c r="AX1653" s="93">
        <f t="shared" si="243"/>
        <v>0</v>
      </c>
      <c r="AY1653" s="94" t="s">
        <v>1914</v>
      </c>
      <c r="AZ1653" s="94" t="s">
        <v>1915</v>
      </c>
      <c r="BA1653" s="88" t="s">
        <v>67</v>
      </c>
      <c r="BC1653" s="93">
        <f t="shared" si="244"/>
        <v>0</v>
      </c>
      <c r="BD1653" s="93">
        <f t="shared" si="245"/>
        <v>0</v>
      </c>
      <c r="BE1653" s="93">
        <v>0</v>
      </c>
      <c r="BF1653" s="93">
        <f t="shared" si="246"/>
        <v>4.7600000000000003E-3</v>
      </c>
      <c r="BH1653" s="93">
        <f t="shared" si="247"/>
        <v>0</v>
      </c>
      <c r="BI1653" s="93">
        <f t="shared" si="248"/>
        <v>0</v>
      </c>
      <c r="BJ1653" s="93">
        <f t="shared" si="249"/>
        <v>0</v>
      </c>
      <c r="BK1653" s="93"/>
      <c r="BL1653" s="93">
        <v>732</v>
      </c>
      <c r="BW1653" s="93" t="str">
        <f t="shared" si="250"/>
        <v>21</v>
      </c>
      <c r="BX1653" s="2" t="s">
        <v>1921</v>
      </c>
    </row>
    <row r="1654" spans="1:76" s="81" customFormat="1" ht="25.5" x14ac:dyDescent="0.25">
      <c r="A1654" s="66" t="s">
        <v>1925</v>
      </c>
      <c r="B1654" s="72" t="s">
        <v>55</v>
      </c>
      <c r="C1654" s="72" t="s">
        <v>1923</v>
      </c>
      <c r="D1654" s="174" t="s">
        <v>1924</v>
      </c>
      <c r="E1654" s="174"/>
      <c r="F1654" s="72" t="s">
        <v>203</v>
      </c>
      <c r="G1654" s="90">
        <v>1</v>
      </c>
      <c r="H1654" s="91"/>
      <c r="I1654" s="92" t="s">
        <v>63</v>
      </c>
      <c r="J1654" s="90">
        <f t="shared" si="225"/>
        <v>0</v>
      </c>
      <c r="K1654" s="90">
        <f t="shared" si="226"/>
        <v>0</v>
      </c>
      <c r="L1654" s="90">
        <f t="shared" si="227"/>
        <v>0</v>
      </c>
      <c r="M1654" s="90">
        <f t="shared" si="228"/>
        <v>0</v>
      </c>
      <c r="N1654" s="90">
        <v>1.46E-2</v>
      </c>
      <c r="O1654" s="90">
        <f t="shared" si="229"/>
        <v>1.46E-2</v>
      </c>
      <c r="P1654" s="92" t="s">
        <v>64</v>
      </c>
      <c r="Z1654" s="93">
        <f t="shared" si="230"/>
        <v>0</v>
      </c>
      <c r="AB1654" s="93">
        <f t="shared" si="231"/>
        <v>0</v>
      </c>
      <c r="AC1654" s="93">
        <f t="shared" si="232"/>
        <v>0</v>
      </c>
      <c r="AD1654" s="93">
        <f t="shared" si="233"/>
        <v>0</v>
      </c>
      <c r="AE1654" s="93">
        <f t="shared" si="234"/>
        <v>0</v>
      </c>
      <c r="AF1654" s="93">
        <f t="shared" si="235"/>
        <v>0</v>
      </c>
      <c r="AG1654" s="93">
        <f t="shared" si="236"/>
        <v>0</v>
      </c>
      <c r="AH1654" s="93">
        <f t="shared" si="237"/>
        <v>0</v>
      </c>
      <c r="AI1654" s="88" t="s">
        <v>55</v>
      </c>
      <c r="AJ1654" s="93">
        <f t="shared" si="238"/>
        <v>0</v>
      </c>
      <c r="AK1654" s="93">
        <f t="shared" si="239"/>
        <v>0</v>
      </c>
      <c r="AL1654" s="93">
        <f t="shared" si="240"/>
        <v>0</v>
      </c>
      <c r="AN1654" s="93">
        <v>21</v>
      </c>
      <c r="AO1654" s="93">
        <f>H1654*1</f>
        <v>0</v>
      </c>
      <c r="AP1654" s="93">
        <f>H1654*(1-1)</f>
        <v>0</v>
      </c>
      <c r="AQ1654" s="94" t="s">
        <v>148</v>
      </c>
      <c r="AV1654" s="93">
        <f t="shared" si="241"/>
        <v>0</v>
      </c>
      <c r="AW1654" s="93">
        <f t="shared" si="242"/>
        <v>0</v>
      </c>
      <c r="AX1654" s="93">
        <f t="shared" si="243"/>
        <v>0</v>
      </c>
      <c r="AY1654" s="94" t="s">
        <v>1914</v>
      </c>
      <c r="AZ1654" s="94" t="s">
        <v>1915</v>
      </c>
      <c r="BA1654" s="88" t="s">
        <v>67</v>
      </c>
      <c r="BC1654" s="93">
        <f t="shared" si="244"/>
        <v>0</v>
      </c>
      <c r="BD1654" s="93">
        <f t="shared" si="245"/>
        <v>0</v>
      </c>
      <c r="BE1654" s="93">
        <v>0</v>
      </c>
      <c r="BF1654" s="93">
        <f t="shared" si="246"/>
        <v>1.46E-2</v>
      </c>
      <c r="BH1654" s="93">
        <f t="shared" si="247"/>
        <v>0</v>
      </c>
      <c r="BI1654" s="93">
        <f t="shared" si="248"/>
        <v>0</v>
      </c>
      <c r="BJ1654" s="93">
        <f t="shared" si="249"/>
        <v>0</v>
      </c>
      <c r="BK1654" s="93"/>
      <c r="BL1654" s="93">
        <v>732</v>
      </c>
      <c r="BW1654" s="93" t="str">
        <f t="shared" si="250"/>
        <v>21</v>
      </c>
      <c r="BX1654" s="2" t="s">
        <v>1924</v>
      </c>
    </row>
    <row r="1655" spans="1:76" s="81" customFormat="1" ht="25.5" x14ac:dyDescent="0.25">
      <c r="A1655" s="66" t="s">
        <v>1928</v>
      </c>
      <c r="B1655" s="72" t="s">
        <v>55</v>
      </c>
      <c r="C1655" s="72" t="s">
        <v>1926</v>
      </c>
      <c r="D1655" s="174" t="s">
        <v>1927</v>
      </c>
      <c r="E1655" s="174"/>
      <c r="F1655" s="72" t="s">
        <v>203</v>
      </c>
      <c r="G1655" s="90">
        <v>1</v>
      </c>
      <c r="H1655" s="91"/>
      <c r="I1655" s="92" t="s">
        <v>63</v>
      </c>
      <c r="J1655" s="90">
        <f t="shared" si="225"/>
        <v>0</v>
      </c>
      <c r="K1655" s="90">
        <f t="shared" si="226"/>
        <v>0</v>
      </c>
      <c r="L1655" s="90">
        <f t="shared" si="227"/>
        <v>0</v>
      </c>
      <c r="M1655" s="90">
        <f t="shared" si="228"/>
        <v>0</v>
      </c>
      <c r="N1655" s="90">
        <v>6.5329999999999999E-2</v>
      </c>
      <c r="O1655" s="90">
        <f t="shared" si="229"/>
        <v>6.5329999999999999E-2</v>
      </c>
      <c r="P1655" s="92" t="s">
        <v>64</v>
      </c>
      <c r="Z1655" s="93">
        <f t="shared" si="230"/>
        <v>0</v>
      </c>
      <c r="AB1655" s="93">
        <f t="shared" si="231"/>
        <v>0</v>
      </c>
      <c r="AC1655" s="93">
        <f t="shared" si="232"/>
        <v>0</v>
      </c>
      <c r="AD1655" s="93">
        <f t="shared" si="233"/>
        <v>0</v>
      </c>
      <c r="AE1655" s="93">
        <f t="shared" si="234"/>
        <v>0</v>
      </c>
      <c r="AF1655" s="93">
        <f t="shared" si="235"/>
        <v>0</v>
      </c>
      <c r="AG1655" s="93">
        <f t="shared" si="236"/>
        <v>0</v>
      </c>
      <c r="AH1655" s="93">
        <f t="shared" si="237"/>
        <v>0</v>
      </c>
      <c r="AI1655" s="88" t="s">
        <v>55</v>
      </c>
      <c r="AJ1655" s="93">
        <f t="shared" si="238"/>
        <v>0</v>
      </c>
      <c r="AK1655" s="93">
        <f t="shared" si="239"/>
        <v>0</v>
      </c>
      <c r="AL1655" s="93">
        <f t="shared" si="240"/>
        <v>0</v>
      </c>
      <c r="AN1655" s="93">
        <v>21</v>
      </c>
      <c r="AO1655" s="93">
        <f>H1655*0.674383346</f>
        <v>0</v>
      </c>
      <c r="AP1655" s="93">
        <f>H1655*(1-0.674383346)</f>
        <v>0</v>
      </c>
      <c r="AQ1655" s="94" t="s">
        <v>148</v>
      </c>
      <c r="AV1655" s="93">
        <f t="shared" si="241"/>
        <v>0</v>
      </c>
      <c r="AW1655" s="93">
        <f t="shared" si="242"/>
        <v>0</v>
      </c>
      <c r="AX1655" s="93">
        <f t="shared" si="243"/>
        <v>0</v>
      </c>
      <c r="AY1655" s="94" t="s">
        <v>1914</v>
      </c>
      <c r="AZ1655" s="94" t="s">
        <v>1915</v>
      </c>
      <c r="BA1655" s="88" t="s">
        <v>67</v>
      </c>
      <c r="BC1655" s="93">
        <f t="shared" si="244"/>
        <v>0</v>
      </c>
      <c r="BD1655" s="93">
        <f t="shared" si="245"/>
        <v>0</v>
      </c>
      <c r="BE1655" s="93">
        <v>0</v>
      </c>
      <c r="BF1655" s="93">
        <f t="shared" si="246"/>
        <v>6.5329999999999999E-2</v>
      </c>
      <c r="BH1655" s="93">
        <f t="shared" si="247"/>
        <v>0</v>
      </c>
      <c r="BI1655" s="93">
        <f t="shared" si="248"/>
        <v>0</v>
      </c>
      <c r="BJ1655" s="93">
        <f t="shared" si="249"/>
        <v>0</v>
      </c>
      <c r="BK1655" s="93"/>
      <c r="BL1655" s="93">
        <v>732</v>
      </c>
      <c r="BW1655" s="93" t="str">
        <f t="shared" si="250"/>
        <v>21</v>
      </c>
      <c r="BX1655" s="2" t="s">
        <v>1927</v>
      </c>
    </row>
    <row r="1656" spans="1:76" s="81" customFormat="1" ht="25.5" x14ac:dyDescent="0.25">
      <c r="A1656" s="66" t="s">
        <v>1931</v>
      </c>
      <c r="B1656" s="72" t="s">
        <v>55</v>
      </c>
      <c r="C1656" s="72" t="s">
        <v>1929</v>
      </c>
      <c r="D1656" s="174" t="s">
        <v>1930</v>
      </c>
      <c r="E1656" s="174"/>
      <c r="F1656" s="72" t="s">
        <v>203</v>
      </c>
      <c r="G1656" s="90">
        <v>1</v>
      </c>
      <c r="H1656" s="91"/>
      <c r="I1656" s="92" t="s">
        <v>63</v>
      </c>
      <c r="J1656" s="90">
        <f t="shared" si="225"/>
        <v>0</v>
      </c>
      <c r="K1656" s="90">
        <f t="shared" si="226"/>
        <v>0</v>
      </c>
      <c r="L1656" s="90">
        <f t="shared" si="227"/>
        <v>0</v>
      </c>
      <c r="M1656" s="90">
        <f t="shared" si="228"/>
        <v>0</v>
      </c>
      <c r="N1656" s="90">
        <v>5.0899999999999999E-3</v>
      </c>
      <c r="O1656" s="90">
        <f t="shared" si="229"/>
        <v>5.0899999999999999E-3</v>
      </c>
      <c r="P1656" s="92" t="s">
        <v>64</v>
      </c>
      <c r="Z1656" s="93">
        <f t="shared" si="230"/>
        <v>0</v>
      </c>
      <c r="AB1656" s="93">
        <f t="shared" si="231"/>
        <v>0</v>
      </c>
      <c r="AC1656" s="93">
        <f t="shared" si="232"/>
        <v>0</v>
      </c>
      <c r="AD1656" s="93">
        <f t="shared" si="233"/>
        <v>0</v>
      </c>
      <c r="AE1656" s="93">
        <f t="shared" si="234"/>
        <v>0</v>
      </c>
      <c r="AF1656" s="93">
        <f t="shared" si="235"/>
        <v>0</v>
      </c>
      <c r="AG1656" s="93">
        <f t="shared" si="236"/>
        <v>0</v>
      </c>
      <c r="AH1656" s="93">
        <f t="shared" si="237"/>
        <v>0</v>
      </c>
      <c r="AI1656" s="88" t="s">
        <v>55</v>
      </c>
      <c r="AJ1656" s="93">
        <f t="shared" si="238"/>
        <v>0</v>
      </c>
      <c r="AK1656" s="93">
        <f t="shared" si="239"/>
        <v>0</v>
      </c>
      <c r="AL1656" s="93">
        <f t="shared" si="240"/>
        <v>0</v>
      </c>
      <c r="AN1656" s="93">
        <v>21</v>
      </c>
      <c r="AO1656" s="93">
        <f>H1656*1</f>
        <v>0</v>
      </c>
      <c r="AP1656" s="93">
        <f>H1656*(1-1)</f>
        <v>0</v>
      </c>
      <c r="AQ1656" s="94" t="s">
        <v>148</v>
      </c>
      <c r="AV1656" s="93">
        <f t="shared" si="241"/>
        <v>0</v>
      </c>
      <c r="AW1656" s="93">
        <f t="shared" si="242"/>
        <v>0</v>
      </c>
      <c r="AX1656" s="93">
        <f t="shared" si="243"/>
        <v>0</v>
      </c>
      <c r="AY1656" s="94" t="s">
        <v>1914</v>
      </c>
      <c r="AZ1656" s="94" t="s">
        <v>1915</v>
      </c>
      <c r="BA1656" s="88" t="s">
        <v>67</v>
      </c>
      <c r="BC1656" s="93">
        <f t="shared" si="244"/>
        <v>0</v>
      </c>
      <c r="BD1656" s="93">
        <f t="shared" si="245"/>
        <v>0</v>
      </c>
      <c r="BE1656" s="93">
        <v>0</v>
      </c>
      <c r="BF1656" s="93">
        <f t="shared" si="246"/>
        <v>5.0899999999999999E-3</v>
      </c>
      <c r="BH1656" s="93">
        <f t="shared" si="247"/>
        <v>0</v>
      </c>
      <c r="BI1656" s="93">
        <f t="shared" si="248"/>
        <v>0</v>
      </c>
      <c r="BJ1656" s="93">
        <f t="shared" si="249"/>
        <v>0</v>
      </c>
      <c r="BK1656" s="93"/>
      <c r="BL1656" s="93">
        <v>732</v>
      </c>
      <c r="BW1656" s="93" t="str">
        <f t="shared" si="250"/>
        <v>21</v>
      </c>
      <c r="BX1656" s="2" t="s">
        <v>1930</v>
      </c>
    </row>
    <row r="1657" spans="1:76" s="81" customFormat="1" ht="25.5" x14ac:dyDescent="0.25">
      <c r="A1657" s="66" t="s">
        <v>1934</v>
      </c>
      <c r="B1657" s="72" t="s">
        <v>55</v>
      </c>
      <c r="C1657" s="72" t="s">
        <v>1932</v>
      </c>
      <c r="D1657" s="174" t="s">
        <v>1933</v>
      </c>
      <c r="E1657" s="174"/>
      <c r="F1657" s="72" t="s">
        <v>1332</v>
      </c>
      <c r="G1657" s="90">
        <v>2</v>
      </c>
      <c r="H1657" s="91"/>
      <c r="I1657" s="92" t="s">
        <v>63</v>
      </c>
      <c r="J1657" s="90">
        <f t="shared" si="225"/>
        <v>0</v>
      </c>
      <c r="K1657" s="90">
        <f t="shared" si="226"/>
        <v>0</v>
      </c>
      <c r="L1657" s="90">
        <f t="shared" si="227"/>
        <v>0</v>
      </c>
      <c r="M1657" s="90">
        <f t="shared" si="228"/>
        <v>0</v>
      </c>
      <c r="N1657" s="90">
        <v>3.3899999999999998E-3</v>
      </c>
      <c r="O1657" s="90">
        <f t="shared" si="229"/>
        <v>6.7799999999999996E-3</v>
      </c>
      <c r="P1657" s="92" t="s">
        <v>64</v>
      </c>
      <c r="Z1657" s="93">
        <f t="shared" si="230"/>
        <v>0</v>
      </c>
      <c r="AB1657" s="93">
        <f t="shared" si="231"/>
        <v>0</v>
      </c>
      <c r="AC1657" s="93">
        <f t="shared" si="232"/>
        <v>0</v>
      </c>
      <c r="AD1657" s="93">
        <f t="shared" si="233"/>
        <v>0</v>
      </c>
      <c r="AE1657" s="93">
        <f t="shared" si="234"/>
        <v>0</v>
      </c>
      <c r="AF1657" s="93">
        <f t="shared" si="235"/>
        <v>0</v>
      </c>
      <c r="AG1657" s="93">
        <f t="shared" si="236"/>
        <v>0</v>
      </c>
      <c r="AH1657" s="93">
        <f t="shared" si="237"/>
        <v>0</v>
      </c>
      <c r="AI1657" s="88" t="s">
        <v>55</v>
      </c>
      <c r="AJ1657" s="93">
        <f t="shared" si="238"/>
        <v>0</v>
      </c>
      <c r="AK1657" s="93">
        <f t="shared" si="239"/>
        <v>0</v>
      </c>
      <c r="AL1657" s="93">
        <f t="shared" si="240"/>
        <v>0</v>
      </c>
      <c r="AN1657" s="93">
        <v>21</v>
      </c>
      <c r="AO1657" s="93">
        <f>H1657*0.954232877</f>
        <v>0</v>
      </c>
      <c r="AP1657" s="93">
        <f>H1657*(1-0.954232877)</f>
        <v>0</v>
      </c>
      <c r="AQ1657" s="94" t="s">
        <v>148</v>
      </c>
      <c r="AV1657" s="93">
        <f t="shared" si="241"/>
        <v>0</v>
      </c>
      <c r="AW1657" s="93">
        <f t="shared" si="242"/>
        <v>0</v>
      </c>
      <c r="AX1657" s="93">
        <f t="shared" si="243"/>
        <v>0</v>
      </c>
      <c r="AY1657" s="94" t="s">
        <v>1914</v>
      </c>
      <c r="AZ1657" s="94" t="s">
        <v>1915</v>
      </c>
      <c r="BA1657" s="88" t="s">
        <v>67</v>
      </c>
      <c r="BC1657" s="93">
        <f t="shared" si="244"/>
        <v>0</v>
      </c>
      <c r="BD1657" s="93">
        <f t="shared" si="245"/>
        <v>0</v>
      </c>
      <c r="BE1657" s="93">
        <v>0</v>
      </c>
      <c r="BF1657" s="93">
        <f t="shared" si="246"/>
        <v>6.7799999999999996E-3</v>
      </c>
      <c r="BH1657" s="93">
        <f t="shared" si="247"/>
        <v>0</v>
      </c>
      <c r="BI1657" s="93">
        <f t="shared" si="248"/>
        <v>0</v>
      </c>
      <c r="BJ1657" s="93">
        <f t="shared" si="249"/>
        <v>0</v>
      </c>
      <c r="BK1657" s="93"/>
      <c r="BL1657" s="93">
        <v>732</v>
      </c>
      <c r="BW1657" s="93" t="str">
        <f t="shared" si="250"/>
        <v>21</v>
      </c>
      <c r="BX1657" s="2" t="s">
        <v>1933</v>
      </c>
    </row>
    <row r="1658" spans="1:76" s="81" customFormat="1" ht="25.5" x14ac:dyDescent="0.25">
      <c r="A1658" s="66" t="s">
        <v>1937</v>
      </c>
      <c r="B1658" s="72" t="s">
        <v>55</v>
      </c>
      <c r="C1658" s="72" t="s">
        <v>1935</v>
      </c>
      <c r="D1658" s="174" t="s">
        <v>1936</v>
      </c>
      <c r="E1658" s="174"/>
      <c r="F1658" s="72" t="s">
        <v>1332</v>
      </c>
      <c r="G1658" s="90">
        <v>1</v>
      </c>
      <c r="H1658" s="91"/>
      <c r="I1658" s="92" t="s">
        <v>63</v>
      </c>
      <c r="J1658" s="90">
        <f t="shared" si="225"/>
        <v>0</v>
      </c>
      <c r="K1658" s="90">
        <f t="shared" si="226"/>
        <v>0</v>
      </c>
      <c r="L1658" s="90">
        <f t="shared" si="227"/>
        <v>0</v>
      </c>
      <c r="M1658" s="90">
        <f t="shared" si="228"/>
        <v>0</v>
      </c>
      <c r="N1658" s="90">
        <v>6.9999999999999999E-4</v>
      </c>
      <c r="O1658" s="90">
        <f t="shared" si="229"/>
        <v>6.9999999999999999E-4</v>
      </c>
      <c r="P1658" s="92" t="s">
        <v>64</v>
      </c>
      <c r="Z1658" s="93">
        <f t="shared" si="230"/>
        <v>0</v>
      </c>
      <c r="AB1658" s="93">
        <f t="shared" si="231"/>
        <v>0</v>
      </c>
      <c r="AC1658" s="93">
        <f t="shared" si="232"/>
        <v>0</v>
      </c>
      <c r="AD1658" s="93">
        <f t="shared" si="233"/>
        <v>0</v>
      </c>
      <c r="AE1658" s="93">
        <f t="shared" si="234"/>
        <v>0</v>
      </c>
      <c r="AF1658" s="93">
        <f t="shared" si="235"/>
        <v>0</v>
      </c>
      <c r="AG1658" s="93">
        <f t="shared" si="236"/>
        <v>0</v>
      </c>
      <c r="AH1658" s="93">
        <f t="shared" si="237"/>
        <v>0</v>
      </c>
      <c r="AI1658" s="88" t="s">
        <v>55</v>
      </c>
      <c r="AJ1658" s="93">
        <f t="shared" si="238"/>
        <v>0</v>
      </c>
      <c r="AK1658" s="93">
        <f t="shared" si="239"/>
        <v>0</v>
      </c>
      <c r="AL1658" s="93">
        <f t="shared" si="240"/>
        <v>0</v>
      </c>
      <c r="AN1658" s="93">
        <v>21</v>
      </c>
      <c r="AO1658" s="93">
        <f>H1658*0.971882656</f>
        <v>0</v>
      </c>
      <c r="AP1658" s="93">
        <f>H1658*(1-0.971882656)</f>
        <v>0</v>
      </c>
      <c r="AQ1658" s="94" t="s">
        <v>148</v>
      </c>
      <c r="AV1658" s="93">
        <f t="shared" si="241"/>
        <v>0</v>
      </c>
      <c r="AW1658" s="93">
        <f t="shared" si="242"/>
        <v>0</v>
      </c>
      <c r="AX1658" s="93">
        <f t="shared" si="243"/>
        <v>0</v>
      </c>
      <c r="AY1658" s="94" t="s">
        <v>1914</v>
      </c>
      <c r="AZ1658" s="94" t="s">
        <v>1915</v>
      </c>
      <c r="BA1658" s="88" t="s">
        <v>67</v>
      </c>
      <c r="BC1658" s="93">
        <f t="shared" si="244"/>
        <v>0</v>
      </c>
      <c r="BD1658" s="93">
        <f t="shared" si="245"/>
        <v>0</v>
      </c>
      <c r="BE1658" s="93">
        <v>0</v>
      </c>
      <c r="BF1658" s="93">
        <f t="shared" si="246"/>
        <v>6.9999999999999999E-4</v>
      </c>
      <c r="BH1658" s="93">
        <f t="shared" si="247"/>
        <v>0</v>
      </c>
      <c r="BI1658" s="93">
        <f t="shared" si="248"/>
        <v>0</v>
      </c>
      <c r="BJ1658" s="93">
        <f t="shared" si="249"/>
        <v>0</v>
      </c>
      <c r="BK1658" s="93"/>
      <c r="BL1658" s="93">
        <v>732</v>
      </c>
      <c r="BW1658" s="93" t="str">
        <f t="shared" si="250"/>
        <v>21</v>
      </c>
      <c r="BX1658" s="2" t="s">
        <v>1936</v>
      </c>
    </row>
    <row r="1659" spans="1:76" s="81" customFormat="1" ht="25.5" x14ac:dyDescent="0.25">
      <c r="A1659" s="66" t="s">
        <v>1941</v>
      </c>
      <c r="B1659" s="72" t="s">
        <v>55</v>
      </c>
      <c r="C1659" s="72" t="s">
        <v>1938</v>
      </c>
      <c r="D1659" s="174" t="s">
        <v>1939</v>
      </c>
      <c r="E1659" s="174"/>
      <c r="F1659" s="72" t="s">
        <v>1332</v>
      </c>
      <c r="G1659" s="90">
        <v>2</v>
      </c>
      <c r="H1659" s="91"/>
      <c r="I1659" s="92" t="s">
        <v>63</v>
      </c>
      <c r="J1659" s="90">
        <f t="shared" si="225"/>
        <v>0</v>
      </c>
      <c r="K1659" s="90">
        <f t="shared" si="226"/>
        <v>0</v>
      </c>
      <c r="L1659" s="90">
        <f t="shared" si="227"/>
        <v>0</v>
      </c>
      <c r="M1659" s="90">
        <f t="shared" si="228"/>
        <v>0</v>
      </c>
      <c r="N1659" s="90">
        <v>5.2999999999999998E-4</v>
      </c>
      <c r="O1659" s="90">
        <f t="shared" si="229"/>
        <v>1.06E-3</v>
      </c>
      <c r="P1659" s="92" t="s">
        <v>1940</v>
      </c>
      <c r="Z1659" s="93">
        <f t="shared" si="230"/>
        <v>0</v>
      </c>
      <c r="AB1659" s="93">
        <f t="shared" si="231"/>
        <v>0</v>
      </c>
      <c r="AC1659" s="93">
        <f t="shared" si="232"/>
        <v>0</v>
      </c>
      <c r="AD1659" s="93">
        <f t="shared" si="233"/>
        <v>0</v>
      </c>
      <c r="AE1659" s="93">
        <f t="shared" si="234"/>
        <v>0</v>
      </c>
      <c r="AF1659" s="93">
        <f t="shared" si="235"/>
        <v>0</v>
      </c>
      <c r="AG1659" s="93">
        <f t="shared" si="236"/>
        <v>0</v>
      </c>
      <c r="AH1659" s="93">
        <f t="shared" si="237"/>
        <v>0</v>
      </c>
      <c r="AI1659" s="88" t="s">
        <v>55</v>
      </c>
      <c r="AJ1659" s="93">
        <f t="shared" si="238"/>
        <v>0</v>
      </c>
      <c r="AK1659" s="93">
        <f t="shared" si="239"/>
        <v>0</v>
      </c>
      <c r="AL1659" s="93">
        <f t="shared" si="240"/>
        <v>0</v>
      </c>
      <c r="AN1659" s="93">
        <v>21</v>
      </c>
      <c r="AO1659" s="93">
        <f>H1659*0.5382</f>
        <v>0</v>
      </c>
      <c r="AP1659" s="93">
        <f>H1659*(1-0.5382)</f>
        <v>0</v>
      </c>
      <c r="AQ1659" s="94" t="s">
        <v>148</v>
      </c>
      <c r="AV1659" s="93">
        <f t="shared" si="241"/>
        <v>0</v>
      </c>
      <c r="AW1659" s="93">
        <f t="shared" si="242"/>
        <v>0</v>
      </c>
      <c r="AX1659" s="93">
        <f t="shared" si="243"/>
        <v>0</v>
      </c>
      <c r="AY1659" s="94" t="s">
        <v>1914</v>
      </c>
      <c r="AZ1659" s="94" t="s">
        <v>1915</v>
      </c>
      <c r="BA1659" s="88" t="s">
        <v>67</v>
      </c>
      <c r="BC1659" s="93">
        <f t="shared" si="244"/>
        <v>0</v>
      </c>
      <c r="BD1659" s="93">
        <f t="shared" si="245"/>
        <v>0</v>
      </c>
      <c r="BE1659" s="93">
        <v>0</v>
      </c>
      <c r="BF1659" s="93">
        <f t="shared" si="246"/>
        <v>1.06E-3</v>
      </c>
      <c r="BH1659" s="93">
        <f t="shared" si="247"/>
        <v>0</v>
      </c>
      <c r="BI1659" s="93">
        <f t="shared" si="248"/>
        <v>0</v>
      </c>
      <c r="BJ1659" s="93">
        <f t="shared" si="249"/>
        <v>0</v>
      </c>
      <c r="BK1659" s="93"/>
      <c r="BL1659" s="93">
        <v>732</v>
      </c>
      <c r="BW1659" s="93" t="str">
        <f t="shared" si="250"/>
        <v>21</v>
      </c>
      <c r="BX1659" s="2" t="s">
        <v>1939</v>
      </c>
    </row>
    <row r="1660" spans="1:76" s="81" customFormat="1" ht="25.5" x14ac:dyDescent="0.25">
      <c r="A1660" s="66" t="s">
        <v>1944</v>
      </c>
      <c r="B1660" s="72" t="s">
        <v>55</v>
      </c>
      <c r="C1660" s="72" t="s">
        <v>1942</v>
      </c>
      <c r="D1660" s="174" t="s">
        <v>1943</v>
      </c>
      <c r="E1660" s="174"/>
      <c r="F1660" s="72" t="s">
        <v>203</v>
      </c>
      <c r="G1660" s="90">
        <v>2</v>
      </c>
      <c r="H1660" s="91"/>
      <c r="I1660" s="92" t="s">
        <v>63</v>
      </c>
      <c r="J1660" s="90">
        <f t="shared" si="225"/>
        <v>0</v>
      </c>
      <c r="K1660" s="90">
        <f t="shared" si="226"/>
        <v>0</v>
      </c>
      <c r="L1660" s="90">
        <f t="shared" si="227"/>
        <v>0</v>
      </c>
      <c r="M1660" s="90">
        <f t="shared" si="228"/>
        <v>0</v>
      </c>
      <c r="N1660" s="90">
        <v>0</v>
      </c>
      <c r="O1660" s="90">
        <f t="shared" si="229"/>
        <v>0</v>
      </c>
      <c r="P1660" s="92" t="s">
        <v>1647</v>
      </c>
      <c r="Z1660" s="93">
        <f t="shared" si="230"/>
        <v>0</v>
      </c>
      <c r="AB1660" s="93">
        <f t="shared" si="231"/>
        <v>0</v>
      </c>
      <c r="AC1660" s="93">
        <f t="shared" si="232"/>
        <v>0</v>
      </c>
      <c r="AD1660" s="93">
        <f t="shared" si="233"/>
        <v>0</v>
      </c>
      <c r="AE1660" s="93">
        <f t="shared" si="234"/>
        <v>0</v>
      </c>
      <c r="AF1660" s="93">
        <f t="shared" si="235"/>
        <v>0</v>
      </c>
      <c r="AG1660" s="93">
        <f t="shared" si="236"/>
        <v>0</v>
      </c>
      <c r="AH1660" s="93">
        <f t="shared" si="237"/>
        <v>0</v>
      </c>
      <c r="AI1660" s="88" t="s">
        <v>55</v>
      </c>
      <c r="AJ1660" s="93">
        <f t="shared" si="238"/>
        <v>0</v>
      </c>
      <c r="AK1660" s="93">
        <f t="shared" si="239"/>
        <v>0</v>
      </c>
      <c r="AL1660" s="93">
        <f t="shared" si="240"/>
        <v>0</v>
      </c>
      <c r="AN1660" s="93">
        <v>21</v>
      </c>
      <c r="AO1660" s="93">
        <f t="shared" ref="AO1660:AO1669" si="251">H1660*1</f>
        <v>0</v>
      </c>
      <c r="AP1660" s="93">
        <f t="shared" ref="AP1660:AP1669" si="252">H1660*(1-1)</f>
        <v>0</v>
      </c>
      <c r="AQ1660" s="94" t="s">
        <v>148</v>
      </c>
      <c r="AV1660" s="93">
        <f t="shared" si="241"/>
        <v>0</v>
      </c>
      <c r="AW1660" s="93">
        <f t="shared" si="242"/>
        <v>0</v>
      </c>
      <c r="AX1660" s="93">
        <f t="shared" si="243"/>
        <v>0</v>
      </c>
      <c r="AY1660" s="94" t="s">
        <v>1914</v>
      </c>
      <c r="AZ1660" s="94" t="s">
        <v>1915</v>
      </c>
      <c r="BA1660" s="88" t="s">
        <v>67</v>
      </c>
      <c r="BC1660" s="93">
        <f t="shared" si="244"/>
        <v>0</v>
      </c>
      <c r="BD1660" s="93">
        <f t="shared" si="245"/>
        <v>0</v>
      </c>
      <c r="BE1660" s="93">
        <v>0</v>
      </c>
      <c r="BF1660" s="93">
        <f t="shared" si="246"/>
        <v>0</v>
      </c>
      <c r="BH1660" s="93">
        <f t="shared" si="247"/>
        <v>0</v>
      </c>
      <c r="BI1660" s="93">
        <f t="shared" si="248"/>
        <v>0</v>
      </c>
      <c r="BJ1660" s="93">
        <f t="shared" si="249"/>
        <v>0</v>
      </c>
      <c r="BK1660" s="93"/>
      <c r="BL1660" s="93">
        <v>732</v>
      </c>
      <c r="BW1660" s="93" t="str">
        <f t="shared" si="250"/>
        <v>21</v>
      </c>
      <c r="BX1660" s="2" t="s">
        <v>1943</v>
      </c>
    </row>
    <row r="1661" spans="1:76" s="81" customFormat="1" ht="25.5" x14ac:dyDescent="0.25">
      <c r="A1661" s="66" t="s">
        <v>1947</v>
      </c>
      <c r="B1661" s="72" t="s">
        <v>55</v>
      </c>
      <c r="C1661" s="72" t="s">
        <v>1945</v>
      </c>
      <c r="D1661" s="174" t="s">
        <v>1946</v>
      </c>
      <c r="E1661" s="174"/>
      <c r="F1661" s="72" t="s">
        <v>203</v>
      </c>
      <c r="G1661" s="90">
        <v>1</v>
      </c>
      <c r="H1661" s="91"/>
      <c r="I1661" s="92" t="s">
        <v>63</v>
      </c>
      <c r="J1661" s="90">
        <f t="shared" si="225"/>
        <v>0</v>
      </c>
      <c r="K1661" s="90">
        <f t="shared" si="226"/>
        <v>0</v>
      </c>
      <c r="L1661" s="90">
        <f t="shared" si="227"/>
        <v>0</v>
      </c>
      <c r="M1661" s="90">
        <f t="shared" si="228"/>
        <v>0</v>
      </c>
      <c r="N1661" s="90">
        <v>0</v>
      </c>
      <c r="O1661" s="90">
        <f t="shared" si="229"/>
        <v>0</v>
      </c>
      <c r="P1661" s="92" t="s">
        <v>1647</v>
      </c>
      <c r="Z1661" s="93">
        <f t="shared" si="230"/>
        <v>0</v>
      </c>
      <c r="AB1661" s="93">
        <f t="shared" si="231"/>
        <v>0</v>
      </c>
      <c r="AC1661" s="93">
        <f t="shared" si="232"/>
        <v>0</v>
      </c>
      <c r="AD1661" s="93">
        <f t="shared" si="233"/>
        <v>0</v>
      </c>
      <c r="AE1661" s="93">
        <f t="shared" si="234"/>
        <v>0</v>
      </c>
      <c r="AF1661" s="93">
        <f t="shared" si="235"/>
        <v>0</v>
      </c>
      <c r="AG1661" s="93">
        <f t="shared" si="236"/>
        <v>0</v>
      </c>
      <c r="AH1661" s="93">
        <f t="shared" si="237"/>
        <v>0</v>
      </c>
      <c r="AI1661" s="88" t="s">
        <v>55</v>
      </c>
      <c r="AJ1661" s="93">
        <f t="shared" si="238"/>
        <v>0</v>
      </c>
      <c r="AK1661" s="93">
        <f t="shared" si="239"/>
        <v>0</v>
      </c>
      <c r="AL1661" s="93">
        <f t="shared" si="240"/>
        <v>0</v>
      </c>
      <c r="AN1661" s="93">
        <v>21</v>
      </c>
      <c r="AO1661" s="93">
        <f t="shared" si="251"/>
        <v>0</v>
      </c>
      <c r="AP1661" s="93">
        <f t="shared" si="252"/>
        <v>0</v>
      </c>
      <c r="AQ1661" s="94" t="s">
        <v>148</v>
      </c>
      <c r="AV1661" s="93">
        <f t="shared" si="241"/>
        <v>0</v>
      </c>
      <c r="AW1661" s="93">
        <f t="shared" si="242"/>
        <v>0</v>
      </c>
      <c r="AX1661" s="93">
        <f t="shared" si="243"/>
        <v>0</v>
      </c>
      <c r="AY1661" s="94" t="s">
        <v>1914</v>
      </c>
      <c r="AZ1661" s="94" t="s">
        <v>1915</v>
      </c>
      <c r="BA1661" s="88" t="s">
        <v>67</v>
      </c>
      <c r="BC1661" s="93">
        <f t="shared" si="244"/>
        <v>0</v>
      </c>
      <c r="BD1661" s="93">
        <f t="shared" si="245"/>
        <v>0</v>
      </c>
      <c r="BE1661" s="93">
        <v>0</v>
      </c>
      <c r="BF1661" s="93">
        <f t="shared" si="246"/>
        <v>0</v>
      </c>
      <c r="BH1661" s="93">
        <f t="shared" si="247"/>
        <v>0</v>
      </c>
      <c r="BI1661" s="93">
        <f t="shared" si="248"/>
        <v>0</v>
      </c>
      <c r="BJ1661" s="93">
        <f t="shared" si="249"/>
        <v>0</v>
      </c>
      <c r="BK1661" s="93"/>
      <c r="BL1661" s="93">
        <v>732</v>
      </c>
      <c r="BW1661" s="93" t="str">
        <f t="shared" si="250"/>
        <v>21</v>
      </c>
      <c r="BX1661" s="2" t="s">
        <v>1946</v>
      </c>
    </row>
    <row r="1662" spans="1:76" s="81" customFormat="1" ht="25.5" x14ac:dyDescent="0.25">
      <c r="A1662" s="66" t="s">
        <v>1950</v>
      </c>
      <c r="B1662" s="72" t="s">
        <v>55</v>
      </c>
      <c r="C1662" s="72" t="s">
        <v>1948</v>
      </c>
      <c r="D1662" s="174" t="s">
        <v>1949</v>
      </c>
      <c r="E1662" s="174"/>
      <c r="F1662" s="72" t="s">
        <v>203</v>
      </c>
      <c r="G1662" s="90">
        <v>1</v>
      </c>
      <c r="H1662" s="91"/>
      <c r="I1662" s="92" t="s">
        <v>63</v>
      </c>
      <c r="J1662" s="90">
        <f t="shared" si="225"/>
        <v>0</v>
      </c>
      <c r="K1662" s="90">
        <f t="shared" si="226"/>
        <v>0</v>
      </c>
      <c r="L1662" s="90">
        <f t="shared" si="227"/>
        <v>0</v>
      </c>
      <c r="M1662" s="90">
        <f t="shared" si="228"/>
        <v>0</v>
      </c>
      <c r="N1662" s="90">
        <v>0</v>
      </c>
      <c r="O1662" s="90">
        <f t="shared" si="229"/>
        <v>0</v>
      </c>
      <c r="P1662" s="92" t="s">
        <v>1647</v>
      </c>
      <c r="Z1662" s="93">
        <f t="shared" si="230"/>
        <v>0</v>
      </c>
      <c r="AB1662" s="93">
        <f t="shared" si="231"/>
        <v>0</v>
      </c>
      <c r="AC1662" s="93">
        <f t="shared" si="232"/>
        <v>0</v>
      </c>
      <c r="AD1662" s="93">
        <f t="shared" si="233"/>
        <v>0</v>
      </c>
      <c r="AE1662" s="93">
        <f t="shared" si="234"/>
        <v>0</v>
      </c>
      <c r="AF1662" s="93">
        <f t="shared" si="235"/>
        <v>0</v>
      </c>
      <c r="AG1662" s="93">
        <f t="shared" si="236"/>
        <v>0</v>
      </c>
      <c r="AH1662" s="93">
        <f t="shared" si="237"/>
        <v>0</v>
      </c>
      <c r="AI1662" s="88" t="s">
        <v>55</v>
      </c>
      <c r="AJ1662" s="93">
        <f t="shared" si="238"/>
        <v>0</v>
      </c>
      <c r="AK1662" s="93">
        <f t="shared" si="239"/>
        <v>0</v>
      </c>
      <c r="AL1662" s="93">
        <f t="shared" si="240"/>
        <v>0</v>
      </c>
      <c r="AN1662" s="93">
        <v>21</v>
      </c>
      <c r="AO1662" s="93">
        <f t="shared" si="251"/>
        <v>0</v>
      </c>
      <c r="AP1662" s="93">
        <f t="shared" si="252"/>
        <v>0</v>
      </c>
      <c r="AQ1662" s="94" t="s">
        <v>148</v>
      </c>
      <c r="AV1662" s="93">
        <f t="shared" si="241"/>
        <v>0</v>
      </c>
      <c r="AW1662" s="93">
        <f t="shared" si="242"/>
        <v>0</v>
      </c>
      <c r="AX1662" s="93">
        <f t="shared" si="243"/>
        <v>0</v>
      </c>
      <c r="AY1662" s="94" t="s">
        <v>1914</v>
      </c>
      <c r="AZ1662" s="94" t="s">
        <v>1915</v>
      </c>
      <c r="BA1662" s="88" t="s">
        <v>67</v>
      </c>
      <c r="BC1662" s="93">
        <f t="shared" si="244"/>
        <v>0</v>
      </c>
      <c r="BD1662" s="93">
        <f t="shared" si="245"/>
        <v>0</v>
      </c>
      <c r="BE1662" s="93">
        <v>0</v>
      </c>
      <c r="BF1662" s="93">
        <f t="shared" si="246"/>
        <v>0</v>
      </c>
      <c r="BH1662" s="93">
        <f t="shared" si="247"/>
        <v>0</v>
      </c>
      <c r="BI1662" s="93">
        <f t="shared" si="248"/>
        <v>0</v>
      </c>
      <c r="BJ1662" s="93">
        <f t="shared" si="249"/>
        <v>0</v>
      </c>
      <c r="BK1662" s="93"/>
      <c r="BL1662" s="93">
        <v>732</v>
      </c>
      <c r="BW1662" s="93" t="str">
        <f t="shared" si="250"/>
        <v>21</v>
      </c>
      <c r="BX1662" s="2" t="s">
        <v>1949</v>
      </c>
    </row>
    <row r="1663" spans="1:76" s="81" customFormat="1" ht="25.5" x14ac:dyDescent="0.25">
      <c r="A1663" s="66" t="s">
        <v>1953</v>
      </c>
      <c r="B1663" s="72" t="s">
        <v>55</v>
      </c>
      <c r="C1663" s="72" t="s">
        <v>1951</v>
      </c>
      <c r="D1663" s="174" t="s">
        <v>1952</v>
      </c>
      <c r="E1663" s="174"/>
      <c r="F1663" s="72" t="s">
        <v>203</v>
      </c>
      <c r="G1663" s="90">
        <v>1</v>
      </c>
      <c r="H1663" s="91"/>
      <c r="I1663" s="92" t="s">
        <v>63</v>
      </c>
      <c r="J1663" s="90">
        <f t="shared" si="225"/>
        <v>0</v>
      </c>
      <c r="K1663" s="90">
        <f t="shared" si="226"/>
        <v>0</v>
      </c>
      <c r="L1663" s="90">
        <f t="shared" si="227"/>
        <v>0</v>
      </c>
      <c r="M1663" s="90">
        <f t="shared" si="228"/>
        <v>0</v>
      </c>
      <c r="N1663" s="90">
        <v>0</v>
      </c>
      <c r="O1663" s="90">
        <f t="shared" si="229"/>
        <v>0</v>
      </c>
      <c r="P1663" s="92" t="s">
        <v>1647</v>
      </c>
      <c r="Z1663" s="93">
        <f t="shared" si="230"/>
        <v>0</v>
      </c>
      <c r="AB1663" s="93">
        <f t="shared" si="231"/>
        <v>0</v>
      </c>
      <c r="AC1663" s="93">
        <f t="shared" si="232"/>
        <v>0</v>
      </c>
      <c r="AD1663" s="93">
        <f t="shared" si="233"/>
        <v>0</v>
      </c>
      <c r="AE1663" s="93">
        <f t="shared" si="234"/>
        <v>0</v>
      </c>
      <c r="AF1663" s="93">
        <f t="shared" si="235"/>
        <v>0</v>
      </c>
      <c r="AG1663" s="93">
        <f t="shared" si="236"/>
        <v>0</v>
      </c>
      <c r="AH1663" s="93">
        <f t="shared" si="237"/>
        <v>0</v>
      </c>
      <c r="AI1663" s="88" t="s">
        <v>55</v>
      </c>
      <c r="AJ1663" s="93">
        <f t="shared" si="238"/>
        <v>0</v>
      </c>
      <c r="AK1663" s="93">
        <f t="shared" si="239"/>
        <v>0</v>
      </c>
      <c r="AL1663" s="93">
        <f t="shared" si="240"/>
        <v>0</v>
      </c>
      <c r="AN1663" s="93">
        <v>21</v>
      </c>
      <c r="AO1663" s="93">
        <f t="shared" si="251"/>
        <v>0</v>
      </c>
      <c r="AP1663" s="93">
        <f t="shared" si="252"/>
        <v>0</v>
      </c>
      <c r="AQ1663" s="94" t="s">
        <v>148</v>
      </c>
      <c r="AV1663" s="93">
        <f t="shared" si="241"/>
        <v>0</v>
      </c>
      <c r="AW1663" s="93">
        <f t="shared" si="242"/>
        <v>0</v>
      </c>
      <c r="AX1663" s="93">
        <f t="shared" si="243"/>
        <v>0</v>
      </c>
      <c r="AY1663" s="94" t="s">
        <v>1914</v>
      </c>
      <c r="AZ1663" s="94" t="s">
        <v>1915</v>
      </c>
      <c r="BA1663" s="88" t="s">
        <v>67</v>
      </c>
      <c r="BC1663" s="93">
        <f t="shared" si="244"/>
        <v>0</v>
      </c>
      <c r="BD1663" s="93">
        <f t="shared" si="245"/>
        <v>0</v>
      </c>
      <c r="BE1663" s="93">
        <v>0</v>
      </c>
      <c r="BF1663" s="93">
        <f t="shared" si="246"/>
        <v>0</v>
      </c>
      <c r="BH1663" s="93">
        <f t="shared" si="247"/>
        <v>0</v>
      </c>
      <c r="BI1663" s="93">
        <f t="shared" si="248"/>
        <v>0</v>
      </c>
      <c r="BJ1663" s="93">
        <f t="shared" si="249"/>
        <v>0</v>
      </c>
      <c r="BK1663" s="93"/>
      <c r="BL1663" s="93">
        <v>732</v>
      </c>
      <c r="BW1663" s="93" t="str">
        <f t="shared" si="250"/>
        <v>21</v>
      </c>
      <c r="BX1663" s="2" t="s">
        <v>1952</v>
      </c>
    </row>
    <row r="1664" spans="1:76" s="81" customFormat="1" ht="25.5" x14ac:dyDescent="0.25">
      <c r="A1664" s="66" t="s">
        <v>1956</v>
      </c>
      <c r="B1664" s="72" t="s">
        <v>55</v>
      </c>
      <c r="C1664" s="72" t="s">
        <v>1954</v>
      </c>
      <c r="D1664" s="174" t="s">
        <v>1955</v>
      </c>
      <c r="E1664" s="174"/>
      <c r="F1664" s="72" t="s">
        <v>203</v>
      </c>
      <c r="G1664" s="90">
        <v>1</v>
      </c>
      <c r="H1664" s="91"/>
      <c r="I1664" s="92" t="s">
        <v>63</v>
      </c>
      <c r="J1664" s="90">
        <f t="shared" si="225"/>
        <v>0</v>
      </c>
      <c r="K1664" s="90">
        <f t="shared" si="226"/>
        <v>0</v>
      </c>
      <c r="L1664" s="90">
        <f t="shared" si="227"/>
        <v>0</v>
      </c>
      <c r="M1664" s="90">
        <f t="shared" si="228"/>
        <v>0</v>
      </c>
      <c r="N1664" s="90">
        <v>0</v>
      </c>
      <c r="O1664" s="90">
        <f t="shared" si="229"/>
        <v>0</v>
      </c>
      <c r="P1664" s="92" t="s">
        <v>1647</v>
      </c>
      <c r="Z1664" s="93">
        <f t="shared" si="230"/>
        <v>0</v>
      </c>
      <c r="AB1664" s="93">
        <f t="shared" si="231"/>
        <v>0</v>
      </c>
      <c r="AC1664" s="93">
        <f t="shared" si="232"/>
        <v>0</v>
      </c>
      <c r="AD1664" s="93">
        <f t="shared" si="233"/>
        <v>0</v>
      </c>
      <c r="AE1664" s="93">
        <f t="shared" si="234"/>
        <v>0</v>
      </c>
      <c r="AF1664" s="93">
        <f t="shared" si="235"/>
        <v>0</v>
      </c>
      <c r="AG1664" s="93">
        <f t="shared" si="236"/>
        <v>0</v>
      </c>
      <c r="AH1664" s="93">
        <f t="shared" si="237"/>
        <v>0</v>
      </c>
      <c r="AI1664" s="88" t="s">
        <v>55</v>
      </c>
      <c r="AJ1664" s="93">
        <f t="shared" si="238"/>
        <v>0</v>
      </c>
      <c r="AK1664" s="93">
        <f t="shared" si="239"/>
        <v>0</v>
      </c>
      <c r="AL1664" s="93">
        <f t="shared" si="240"/>
        <v>0</v>
      </c>
      <c r="AN1664" s="93">
        <v>21</v>
      </c>
      <c r="AO1664" s="93">
        <f t="shared" si="251"/>
        <v>0</v>
      </c>
      <c r="AP1664" s="93">
        <f t="shared" si="252"/>
        <v>0</v>
      </c>
      <c r="AQ1664" s="94" t="s">
        <v>148</v>
      </c>
      <c r="AV1664" s="93">
        <f t="shared" si="241"/>
        <v>0</v>
      </c>
      <c r="AW1664" s="93">
        <f t="shared" si="242"/>
        <v>0</v>
      </c>
      <c r="AX1664" s="93">
        <f t="shared" si="243"/>
        <v>0</v>
      </c>
      <c r="AY1664" s="94" t="s">
        <v>1914</v>
      </c>
      <c r="AZ1664" s="94" t="s">
        <v>1915</v>
      </c>
      <c r="BA1664" s="88" t="s">
        <v>67</v>
      </c>
      <c r="BC1664" s="93">
        <f t="shared" si="244"/>
        <v>0</v>
      </c>
      <c r="BD1664" s="93">
        <f t="shared" si="245"/>
        <v>0</v>
      </c>
      <c r="BE1664" s="93">
        <v>0</v>
      </c>
      <c r="BF1664" s="93">
        <f t="shared" si="246"/>
        <v>0</v>
      </c>
      <c r="BH1664" s="93">
        <f t="shared" si="247"/>
        <v>0</v>
      </c>
      <c r="BI1664" s="93">
        <f t="shared" si="248"/>
        <v>0</v>
      </c>
      <c r="BJ1664" s="93">
        <f t="shared" si="249"/>
        <v>0</v>
      </c>
      <c r="BK1664" s="93"/>
      <c r="BL1664" s="93">
        <v>732</v>
      </c>
      <c r="BW1664" s="93" t="str">
        <f t="shared" si="250"/>
        <v>21</v>
      </c>
      <c r="BX1664" s="2" t="s">
        <v>1955</v>
      </c>
    </row>
    <row r="1665" spans="1:76" s="81" customFormat="1" ht="25.5" x14ac:dyDescent="0.25">
      <c r="A1665" s="66" t="s">
        <v>1959</v>
      </c>
      <c r="B1665" s="72" t="s">
        <v>55</v>
      </c>
      <c r="C1665" s="72" t="s">
        <v>1957</v>
      </c>
      <c r="D1665" s="174" t="s">
        <v>1958</v>
      </c>
      <c r="E1665" s="174"/>
      <c r="F1665" s="72" t="s">
        <v>203</v>
      </c>
      <c r="G1665" s="90">
        <v>1</v>
      </c>
      <c r="H1665" s="91"/>
      <c r="I1665" s="92" t="s">
        <v>63</v>
      </c>
      <c r="J1665" s="90">
        <f t="shared" si="225"/>
        <v>0</v>
      </c>
      <c r="K1665" s="90">
        <f t="shared" si="226"/>
        <v>0</v>
      </c>
      <c r="L1665" s="90">
        <f t="shared" si="227"/>
        <v>0</v>
      </c>
      <c r="M1665" s="90">
        <f t="shared" si="228"/>
        <v>0</v>
      </c>
      <c r="N1665" s="90">
        <v>0</v>
      </c>
      <c r="O1665" s="90">
        <f t="shared" si="229"/>
        <v>0</v>
      </c>
      <c r="P1665" s="92" t="s">
        <v>1647</v>
      </c>
      <c r="Z1665" s="93">
        <f t="shared" si="230"/>
        <v>0</v>
      </c>
      <c r="AB1665" s="93">
        <f t="shared" si="231"/>
        <v>0</v>
      </c>
      <c r="AC1665" s="93">
        <f t="shared" si="232"/>
        <v>0</v>
      </c>
      <c r="AD1665" s="93">
        <f t="shared" si="233"/>
        <v>0</v>
      </c>
      <c r="AE1665" s="93">
        <f t="shared" si="234"/>
        <v>0</v>
      </c>
      <c r="AF1665" s="93">
        <f t="shared" si="235"/>
        <v>0</v>
      </c>
      <c r="AG1665" s="93">
        <f t="shared" si="236"/>
        <v>0</v>
      </c>
      <c r="AH1665" s="93">
        <f t="shared" si="237"/>
        <v>0</v>
      </c>
      <c r="AI1665" s="88" t="s">
        <v>55</v>
      </c>
      <c r="AJ1665" s="93">
        <f t="shared" si="238"/>
        <v>0</v>
      </c>
      <c r="AK1665" s="93">
        <f t="shared" si="239"/>
        <v>0</v>
      </c>
      <c r="AL1665" s="93">
        <f t="shared" si="240"/>
        <v>0</v>
      </c>
      <c r="AN1665" s="93">
        <v>21</v>
      </c>
      <c r="AO1665" s="93">
        <f t="shared" si="251"/>
        <v>0</v>
      </c>
      <c r="AP1665" s="93">
        <f t="shared" si="252"/>
        <v>0</v>
      </c>
      <c r="AQ1665" s="94" t="s">
        <v>148</v>
      </c>
      <c r="AV1665" s="93">
        <f t="shared" si="241"/>
        <v>0</v>
      </c>
      <c r="AW1665" s="93">
        <f t="shared" si="242"/>
        <v>0</v>
      </c>
      <c r="AX1665" s="93">
        <f t="shared" si="243"/>
        <v>0</v>
      </c>
      <c r="AY1665" s="94" t="s">
        <v>1914</v>
      </c>
      <c r="AZ1665" s="94" t="s">
        <v>1915</v>
      </c>
      <c r="BA1665" s="88" t="s">
        <v>67</v>
      </c>
      <c r="BC1665" s="93">
        <f t="shared" si="244"/>
        <v>0</v>
      </c>
      <c r="BD1665" s="93">
        <f t="shared" si="245"/>
        <v>0</v>
      </c>
      <c r="BE1665" s="93">
        <v>0</v>
      </c>
      <c r="BF1665" s="93">
        <f t="shared" si="246"/>
        <v>0</v>
      </c>
      <c r="BH1665" s="93">
        <f t="shared" si="247"/>
        <v>0</v>
      </c>
      <c r="BI1665" s="93">
        <f t="shared" si="248"/>
        <v>0</v>
      </c>
      <c r="BJ1665" s="93">
        <f t="shared" si="249"/>
        <v>0</v>
      </c>
      <c r="BK1665" s="93"/>
      <c r="BL1665" s="93">
        <v>732</v>
      </c>
      <c r="BW1665" s="93" t="str">
        <f t="shared" si="250"/>
        <v>21</v>
      </c>
      <c r="BX1665" s="2" t="s">
        <v>1958</v>
      </c>
    </row>
    <row r="1666" spans="1:76" s="81" customFormat="1" ht="25.5" x14ac:dyDescent="0.25">
      <c r="A1666" s="66" t="s">
        <v>1962</v>
      </c>
      <c r="B1666" s="72" t="s">
        <v>55</v>
      </c>
      <c r="C1666" s="72" t="s">
        <v>1960</v>
      </c>
      <c r="D1666" s="174" t="s">
        <v>1961</v>
      </c>
      <c r="E1666" s="174"/>
      <c r="F1666" s="72" t="s">
        <v>203</v>
      </c>
      <c r="G1666" s="90">
        <v>3</v>
      </c>
      <c r="H1666" s="91"/>
      <c r="I1666" s="92" t="s">
        <v>63</v>
      </c>
      <c r="J1666" s="90">
        <f t="shared" si="225"/>
        <v>0</v>
      </c>
      <c r="K1666" s="90">
        <f t="shared" si="226"/>
        <v>0</v>
      </c>
      <c r="L1666" s="90">
        <f t="shared" si="227"/>
        <v>0</v>
      </c>
      <c r="M1666" s="90">
        <f t="shared" si="228"/>
        <v>0</v>
      </c>
      <c r="N1666" s="90">
        <v>0</v>
      </c>
      <c r="O1666" s="90">
        <f t="shared" si="229"/>
        <v>0</v>
      </c>
      <c r="P1666" s="92" t="s">
        <v>1647</v>
      </c>
      <c r="Z1666" s="93">
        <f t="shared" si="230"/>
        <v>0</v>
      </c>
      <c r="AB1666" s="93">
        <f t="shared" si="231"/>
        <v>0</v>
      </c>
      <c r="AC1666" s="93">
        <f t="shared" si="232"/>
        <v>0</v>
      </c>
      <c r="AD1666" s="93">
        <f t="shared" si="233"/>
        <v>0</v>
      </c>
      <c r="AE1666" s="93">
        <f t="shared" si="234"/>
        <v>0</v>
      </c>
      <c r="AF1666" s="93">
        <f t="shared" si="235"/>
        <v>0</v>
      </c>
      <c r="AG1666" s="93">
        <f t="shared" si="236"/>
        <v>0</v>
      </c>
      <c r="AH1666" s="93">
        <f t="shared" si="237"/>
        <v>0</v>
      </c>
      <c r="AI1666" s="88" t="s">
        <v>55</v>
      </c>
      <c r="AJ1666" s="93">
        <f t="shared" si="238"/>
        <v>0</v>
      </c>
      <c r="AK1666" s="93">
        <f t="shared" si="239"/>
        <v>0</v>
      </c>
      <c r="AL1666" s="93">
        <f t="shared" si="240"/>
        <v>0</v>
      </c>
      <c r="AN1666" s="93">
        <v>21</v>
      </c>
      <c r="AO1666" s="93">
        <f t="shared" si="251"/>
        <v>0</v>
      </c>
      <c r="AP1666" s="93">
        <f t="shared" si="252"/>
        <v>0</v>
      </c>
      <c r="AQ1666" s="94" t="s">
        <v>148</v>
      </c>
      <c r="AV1666" s="93">
        <f t="shared" si="241"/>
        <v>0</v>
      </c>
      <c r="AW1666" s="93">
        <f t="shared" si="242"/>
        <v>0</v>
      </c>
      <c r="AX1666" s="93">
        <f t="shared" si="243"/>
        <v>0</v>
      </c>
      <c r="AY1666" s="94" t="s">
        <v>1914</v>
      </c>
      <c r="AZ1666" s="94" t="s">
        <v>1915</v>
      </c>
      <c r="BA1666" s="88" t="s">
        <v>67</v>
      </c>
      <c r="BC1666" s="93">
        <f t="shared" si="244"/>
        <v>0</v>
      </c>
      <c r="BD1666" s="93">
        <f t="shared" si="245"/>
        <v>0</v>
      </c>
      <c r="BE1666" s="93">
        <v>0</v>
      </c>
      <c r="BF1666" s="93">
        <f t="shared" si="246"/>
        <v>0</v>
      </c>
      <c r="BH1666" s="93">
        <f t="shared" si="247"/>
        <v>0</v>
      </c>
      <c r="BI1666" s="93">
        <f t="shared" si="248"/>
        <v>0</v>
      </c>
      <c r="BJ1666" s="93">
        <f t="shared" si="249"/>
        <v>0</v>
      </c>
      <c r="BK1666" s="93"/>
      <c r="BL1666" s="93">
        <v>732</v>
      </c>
      <c r="BW1666" s="93" t="str">
        <f t="shared" si="250"/>
        <v>21</v>
      </c>
      <c r="BX1666" s="2" t="s">
        <v>1961</v>
      </c>
    </row>
    <row r="1667" spans="1:76" s="81" customFormat="1" ht="25.5" x14ac:dyDescent="0.25">
      <c r="A1667" s="66" t="s">
        <v>1965</v>
      </c>
      <c r="B1667" s="72" t="s">
        <v>55</v>
      </c>
      <c r="C1667" s="72" t="s">
        <v>1963</v>
      </c>
      <c r="D1667" s="174" t="s">
        <v>1964</v>
      </c>
      <c r="E1667" s="174"/>
      <c r="F1667" s="72" t="s">
        <v>203</v>
      </c>
      <c r="G1667" s="90">
        <v>1</v>
      </c>
      <c r="H1667" s="91"/>
      <c r="I1667" s="92" t="s">
        <v>63</v>
      </c>
      <c r="J1667" s="90">
        <f t="shared" si="225"/>
        <v>0</v>
      </c>
      <c r="K1667" s="90">
        <f t="shared" si="226"/>
        <v>0</v>
      </c>
      <c r="L1667" s="90">
        <f t="shared" si="227"/>
        <v>0</v>
      </c>
      <c r="M1667" s="90">
        <f t="shared" si="228"/>
        <v>0</v>
      </c>
      <c r="N1667" s="90">
        <v>0</v>
      </c>
      <c r="O1667" s="90">
        <f t="shared" si="229"/>
        <v>0</v>
      </c>
      <c r="P1667" s="92" t="s">
        <v>1647</v>
      </c>
      <c r="Z1667" s="93">
        <f t="shared" si="230"/>
        <v>0</v>
      </c>
      <c r="AB1667" s="93">
        <f t="shared" si="231"/>
        <v>0</v>
      </c>
      <c r="AC1667" s="93">
        <f t="shared" si="232"/>
        <v>0</v>
      </c>
      <c r="AD1667" s="93">
        <f t="shared" si="233"/>
        <v>0</v>
      </c>
      <c r="AE1667" s="93">
        <f t="shared" si="234"/>
        <v>0</v>
      </c>
      <c r="AF1667" s="93">
        <f t="shared" si="235"/>
        <v>0</v>
      </c>
      <c r="AG1667" s="93">
        <f t="shared" si="236"/>
        <v>0</v>
      </c>
      <c r="AH1667" s="93">
        <f t="shared" si="237"/>
        <v>0</v>
      </c>
      <c r="AI1667" s="88" t="s">
        <v>55</v>
      </c>
      <c r="AJ1667" s="93">
        <f t="shared" si="238"/>
        <v>0</v>
      </c>
      <c r="AK1667" s="93">
        <f t="shared" si="239"/>
        <v>0</v>
      </c>
      <c r="AL1667" s="93">
        <f t="shared" si="240"/>
        <v>0</v>
      </c>
      <c r="AN1667" s="93">
        <v>21</v>
      </c>
      <c r="AO1667" s="93">
        <f t="shared" si="251"/>
        <v>0</v>
      </c>
      <c r="AP1667" s="93">
        <f t="shared" si="252"/>
        <v>0</v>
      </c>
      <c r="AQ1667" s="94" t="s">
        <v>148</v>
      </c>
      <c r="AV1667" s="93">
        <f t="shared" si="241"/>
        <v>0</v>
      </c>
      <c r="AW1667" s="93">
        <f t="shared" si="242"/>
        <v>0</v>
      </c>
      <c r="AX1667" s="93">
        <f t="shared" si="243"/>
        <v>0</v>
      </c>
      <c r="AY1667" s="94" t="s">
        <v>1914</v>
      </c>
      <c r="AZ1667" s="94" t="s">
        <v>1915</v>
      </c>
      <c r="BA1667" s="88" t="s">
        <v>67</v>
      </c>
      <c r="BC1667" s="93">
        <f t="shared" si="244"/>
        <v>0</v>
      </c>
      <c r="BD1667" s="93">
        <f t="shared" si="245"/>
        <v>0</v>
      </c>
      <c r="BE1667" s="93">
        <v>0</v>
      </c>
      <c r="BF1667" s="93">
        <f t="shared" si="246"/>
        <v>0</v>
      </c>
      <c r="BH1667" s="93">
        <f t="shared" si="247"/>
        <v>0</v>
      </c>
      <c r="BI1667" s="93">
        <f t="shared" si="248"/>
        <v>0</v>
      </c>
      <c r="BJ1667" s="93">
        <f t="shared" si="249"/>
        <v>0</v>
      </c>
      <c r="BK1667" s="93"/>
      <c r="BL1667" s="93">
        <v>732</v>
      </c>
      <c r="BW1667" s="93" t="str">
        <f t="shared" si="250"/>
        <v>21</v>
      </c>
      <c r="BX1667" s="2" t="s">
        <v>1964</v>
      </c>
    </row>
    <row r="1668" spans="1:76" s="81" customFormat="1" ht="25.5" x14ac:dyDescent="0.25">
      <c r="A1668" s="66" t="s">
        <v>1968</v>
      </c>
      <c r="B1668" s="72" t="s">
        <v>55</v>
      </c>
      <c r="C1668" s="72" t="s">
        <v>1966</v>
      </c>
      <c r="D1668" s="174" t="s">
        <v>1967</v>
      </c>
      <c r="E1668" s="174"/>
      <c r="F1668" s="72" t="s">
        <v>203</v>
      </c>
      <c r="G1668" s="90">
        <v>2</v>
      </c>
      <c r="H1668" s="91"/>
      <c r="I1668" s="92" t="s">
        <v>63</v>
      </c>
      <c r="J1668" s="90">
        <f t="shared" si="225"/>
        <v>0</v>
      </c>
      <c r="K1668" s="90">
        <f t="shared" si="226"/>
        <v>0</v>
      </c>
      <c r="L1668" s="90">
        <f t="shared" si="227"/>
        <v>0</v>
      </c>
      <c r="M1668" s="90">
        <f t="shared" si="228"/>
        <v>0</v>
      </c>
      <c r="N1668" s="90">
        <v>0</v>
      </c>
      <c r="O1668" s="90">
        <f t="shared" si="229"/>
        <v>0</v>
      </c>
      <c r="P1668" s="92" t="s">
        <v>1647</v>
      </c>
      <c r="Z1668" s="93">
        <f t="shared" si="230"/>
        <v>0</v>
      </c>
      <c r="AB1668" s="93">
        <f t="shared" si="231"/>
        <v>0</v>
      </c>
      <c r="AC1668" s="93">
        <f t="shared" si="232"/>
        <v>0</v>
      </c>
      <c r="AD1668" s="93">
        <f t="shared" si="233"/>
        <v>0</v>
      </c>
      <c r="AE1668" s="93">
        <f t="shared" si="234"/>
        <v>0</v>
      </c>
      <c r="AF1668" s="93">
        <f t="shared" si="235"/>
        <v>0</v>
      </c>
      <c r="AG1668" s="93">
        <f t="shared" si="236"/>
        <v>0</v>
      </c>
      <c r="AH1668" s="93">
        <f t="shared" si="237"/>
        <v>0</v>
      </c>
      <c r="AI1668" s="88" t="s">
        <v>55</v>
      </c>
      <c r="AJ1668" s="93">
        <f t="shared" si="238"/>
        <v>0</v>
      </c>
      <c r="AK1668" s="93">
        <f t="shared" si="239"/>
        <v>0</v>
      </c>
      <c r="AL1668" s="93">
        <f t="shared" si="240"/>
        <v>0</v>
      </c>
      <c r="AN1668" s="93">
        <v>21</v>
      </c>
      <c r="AO1668" s="93">
        <f t="shared" si="251"/>
        <v>0</v>
      </c>
      <c r="AP1668" s="93">
        <f t="shared" si="252"/>
        <v>0</v>
      </c>
      <c r="AQ1668" s="94" t="s">
        <v>148</v>
      </c>
      <c r="AV1668" s="93">
        <f t="shared" si="241"/>
        <v>0</v>
      </c>
      <c r="AW1668" s="93">
        <f t="shared" si="242"/>
        <v>0</v>
      </c>
      <c r="AX1668" s="93">
        <f t="shared" si="243"/>
        <v>0</v>
      </c>
      <c r="AY1668" s="94" t="s">
        <v>1914</v>
      </c>
      <c r="AZ1668" s="94" t="s">
        <v>1915</v>
      </c>
      <c r="BA1668" s="88" t="s">
        <v>67</v>
      </c>
      <c r="BC1668" s="93">
        <f t="shared" si="244"/>
        <v>0</v>
      </c>
      <c r="BD1668" s="93">
        <f t="shared" si="245"/>
        <v>0</v>
      </c>
      <c r="BE1668" s="93">
        <v>0</v>
      </c>
      <c r="BF1668" s="93">
        <f t="shared" si="246"/>
        <v>0</v>
      </c>
      <c r="BH1668" s="93">
        <f t="shared" si="247"/>
        <v>0</v>
      </c>
      <c r="BI1668" s="93">
        <f t="shared" si="248"/>
        <v>0</v>
      </c>
      <c r="BJ1668" s="93">
        <f t="shared" si="249"/>
        <v>0</v>
      </c>
      <c r="BK1668" s="93"/>
      <c r="BL1668" s="93">
        <v>732</v>
      </c>
      <c r="BW1668" s="93" t="str">
        <f t="shared" si="250"/>
        <v>21</v>
      </c>
      <c r="BX1668" s="2" t="s">
        <v>1967</v>
      </c>
    </row>
    <row r="1669" spans="1:76" s="81" customFormat="1" ht="25.5" x14ac:dyDescent="0.25">
      <c r="A1669" s="66" t="s">
        <v>1972</v>
      </c>
      <c r="B1669" s="72" t="s">
        <v>55</v>
      </c>
      <c r="C1669" s="72" t="s">
        <v>1969</v>
      </c>
      <c r="D1669" s="174" t="s">
        <v>1970</v>
      </c>
      <c r="E1669" s="174"/>
      <c r="F1669" s="72" t="s">
        <v>203</v>
      </c>
      <c r="G1669" s="90">
        <v>2</v>
      </c>
      <c r="H1669" s="91"/>
      <c r="I1669" s="92" t="s">
        <v>63</v>
      </c>
      <c r="J1669" s="90">
        <f t="shared" si="225"/>
        <v>0</v>
      </c>
      <c r="K1669" s="90">
        <f t="shared" si="226"/>
        <v>0</v>
      </c>
      <c r="L1669" s="90">
        <f t="shared" si="227"/>
        <v>0</v>
      </c>
      <c r="M1669" s="90">
        <f t="shared" si="228"/>
        <v>0</v>
      </c>
      <c r="N1669" s="90">
        <v>0</v>
      </c>
      <c r="O1669" s="90">
        <f t="shared" si="229"/>
        <v>0</v>
      </c>
      <c r="P1669" s="92" t="s">
        <v>1647</v>
      </c>
      <c r="Z1669" s="93">
        <f t="shared" si="230"/>
        <v>0</v>
      </c>
      <c r="AB1669" s="93">
        <f t="shared" si="231"/>
        <v>0</v>
      </c>
      <c r="AC1669" s="93">
        <f t="shared" si="232"/>
        <v>0</v>
      </c>
      <c r="AD1669" s="93">
        <f t="shared" si="233"/>
        <v>0</v>
      </c>
      <c r="AE1669" s="93">
        <f t="shared" si="234"/>
        <v>0</v>
      </c>
      <c r="AF1669" s="93">
        <f t="shared" si="235"/>
        <v>0</v>
      </c>
      <c r="AG1669" s="93">
        <f t="shared" si="236"/>
        <v>0</v>
      </c>
      <c r="AH1669" s="93">
        <f t="shared" si="237"/>
        <v>0</v>
      </c>
      <c r="AI1669" s="88" t="s">
        <v>55</v>
      </c>
      <c r="AJ1669" s="93">
        <f t="shared" si="238"/>
        <v>0</v>
      </c>
      <c r="AK1669" s="93">
        <f t="shared" si="239"/>
        <v>0</v>
      </c>
      <c r="AL1669" s="93">
        <f t="shared" si="240"/>
        <v>0</v>
      </c>
      <c r="AN1669" s="93">
        <v>21</v>
      </c>
      <c r="AO1669" s="93">
        <f t="shared" si="251"/>
        <v>0</v>
      </c>
      <c r="AP1669" s="93">
        <f t="shared" si="252"/>
        <v>0</v>
      </c>
      <c r="AQ1669" s="94" t="s">
        <v>148</v>
      </c>
      <c r="AV1669" s="93">
        <f t="shared" si="241"/>
        <v>0</v>
      </c>
      <c r="AW1669" s="93">
        <f t="shared" si="242"/>
        <v>0</v>
      </c>
      <c r="AX1669" s="93">
        <f t="shared" si="243"/>
        <v>0</v>
      </c>
      <c r="AY1669" s="94" t="s">
        <v>1914</v>
      </c>
      <c r="AZ1669" s="94" t="s">
        <v>1915</v>
      </c>
      <c r="BA1669" s="88" t="s">
        <v>67</v>
      </c>
      <c r="BC1669" s="93">
        <f t="shared" si="244"/>
        <v>0</v>
      </c>
      <c r="BD1669" s="93">
        <f t="shared" si="245"/>
        <v>0</v>
      </c>
      <c r="BE1669" s="93">
        <v>0</v>
      </c>
      <c r="BF1669" s="93">
        <f t="shared" si="246"/>
        <v>0</v>
      </c>
      <c r="BH1669" s="93">
        <f t="shared" si="247"/>
        <v>0</v>
      </c>
      <c r="BI1669" s="93">
        <f t="shared" si="248"/>
        <v>0</v>
      </c>
      <c r="BJ1669" s="93">
        <f t="shared" si="249"/>
        <v>0</v>
      </c>
      <c r="BK1669" s="93"/>
      <c r="BL1669" s="93">
        <v>732</v>
      </c>
      <c r="BW1669" s="93" t="str">
        <f t="shared" si="250"/>
        <v>21</v>
      </c>
      <c r="BX1669" s="2" t="s">
        <v>1970</v>
      </c>
    </row>
    <row r="1670" spans="1:76" s="81" customFormat="1" ht="13.5" customHeight="1" x14ac:dyDescent="0.25">
      <c r="A1670" s="110"/>
      <c r="B1670" s="95"/>
      <c r="C1670" s="95"/>
      <c r="D1670" s="179" t="s">
        <v>1971</v>
      </c>
      <c r="E1670" s="179"/>
      <c r="F1670" s="179"/>
      <c r="G1670" s="179"/>
      <c r="H1670" s="179"/>
      <c r="I1670" s="179"/>
      <c r="J1670" s="179"/>
      <c r="K1670" s="179"/>
      <c r="L1670" s="179"/>
      <c r="M1670" s="179"/>
      <c r="N1670" s="179"/>
      <c r="O1670" s="179"/>
      <c r="P1670" s="179"/>
    </row>
    <row r="1671" spans="1:76" s="81" customFormat="1" ht="25.5" x14ac:dyDescent="0.25">
      <c r="A1671" s="66" t="s">
        <v>1975</v>
      </c>
      <c r="B1671" s="72" t="s">
        <v>55</v>
      </c>
      <c r="C1671" s="72" t="s">
        <v>1973</v>
      </c>
      <c r="D1671" s="174" t="s">
        <v>1974</v>
      </c>
      <c r="E1671" s="174"/>
      <c r="F1671" s="72" t="s">
        <v>203</v>
      </c>
      <c r="G1671" s="90">
        <v>1</v>
      </c>
      <c r="H1671" s="91"/>
      <c r="I1671" s="92" t="s">
        <v>63</v>
      </c>
      <c r="J1671" s="90">
        <f>G1671*AO1671</f>
        <v>0</v>
      </c>
      <c r="K1671" s="90">
        <f>G1671*AP1671</f>
        <v>0</v>
      </c>
      <c r="L1671" s="90">
        <f>G1671*H1671</f>
        <v>0</v>
      </c>
      <c r="M1671" s="90">
        <f>L1671*(1+BW1671/100)</f>
        <v>0</v>
      </c>
      <c r="N1671" s="90">
        <v>0</v>
      </c>
      <c r="O1671" s="90">
        <f>G1671*N1671</f>
        <v>0</v>
      </c>
      <c r="P1671" s="92" t="s">
        <v>1647</v>
      </c>
      <c r="Z1671" s="93">
        <f>IF(AQ1671="5",BJ1671,0)</f>
        <v>0</v>
      </c>
      <c r="AB1671" s="93">
        <f>IF(AQ1671="1",BH1671,0)</f>
        <v>0</v>
      </c>
      <c r="AC1671" s="93">
        <f>IF(AQ1671="1",BI1671,0)</f>
        <v>0</v>
      </c>
      <c r="AD1671" s="93">
        <f>IF(AQ1671="7",BH1671,0)</f>
        <v>0</v>
      </c>
      <c r="AE1671" s="93">
        <f>IF(AQ1671="7",BI1671,0)</f>
        <v>0</v>
      </c>
      <c r="AF1671" s="93">
        <f>IF(AQ1671="2",BH1671,0)</f>
        <v>0</v>
      </c>
      <c r="AG1671" s="93">
        <f>IF(AQ1671="2",BI1671,0)</f>
        <v>0</v>
      </c>
      <c r="AH1671" s="93">
        <f>IF(AQ1671="0",BJ1671,0)</f>
        <v>0</v>
      </c>
      <c r="AI1671" s="88" t="s">
        <v>55</v>
      </c>
      <c r="AJ1671" s="93">
        <f>IF(AN1671=0,L1671,0)</f>
        <v>0</v>
      </c>
      <c r="AK1671" s="93">
        <f>IF(AN1671=12,L1671,0)</f>
        <v>0</v>
      </c>
      <c r="AL1671" s="93">
        <f>IF(AN1671=21,L1671,0)</f>
        <v>0</v>
      </c>
      <c r="AN1671" s="93">
        <v>21</v>
      </c>
      <c r="AO1671" s="93">
        <f>H1671*1</f>
        <v>0</v>
      </c>
      <c r="AP1671" s="93">
        <f>H1671*(1-1)</f>
        <v>0</v>
      </c>
      <c r="AQ1671" s="94" t="s">
        <v>148</v>
      </c>
      <c r="AV1671" s="93">
        <f>AW1671+AX1671</f>
        <v>0</v>
      </c>
      <c r="AW1671" s="93">
        <f>G1671*AO1671</f>
        <v>0</v>
      </c>
      <c r="AX1671" s="93">
        <f>G1671*AP1671</f>
        <v>0</v>
      </c>
      <c r="AY1671" s="94" t="s">
        <v>1914</v>
      </c>
      <c r="AZ1671" s="94" t="s">
        <v>1915</v>
      </c>
      <c r="BA1671" s="88" t="s">
        <v>67</v>
      </c>
      <c r="BC1671" s="93">
        <f>AW1671+AX1671</f>
        <v>0</v>
      </c>
      <c r="BD1671" s="93">
        <f>H1671/(100-BE1671)*100</f>
        <v>0</v>
      </c>
      <c r="BE1671" s="93">
        <v>0</v>
      </c>
      <c r="BF1671" s="93">
        <f>O1671</f>
        <v>0</v>
      </c>
      <c r="BH1671" s="93">
        <f>G1671*AO1671</f>
        <v>0</v>
      </c>
      <c r="BI1671" s="93">
        <f>G1671*AP1671</f>
        <v>0</v>
      </c>
      <c r="BJ1671" s="93">
        <f>G1671*H1671</f>
        <v>0</v>
      </c>
      <c r="BK1671" s="93"/>
      <c r="BL1671" s="93">
        <v>732</v>
      </c>
      <c r="BW1671" s="93" t="str">
        <f>I1671</f>
        <v>21</v>
      </c>
      <c r="BX1671" s="2" t="s">
        <v>1974</v>
      </c>
    </row>
    <row r="1672" spans="1:76" s="81" customFormat="1" ht="25.5" x14ac:dyDescent="0.25">
      <c r="A1672" s="66" t="s">
        <v>1978</v>
      </c>
      <c r="B1672" s="72" t="s">
        <v>55</v>
      </c>
      <c r="C1672" s="72" t="s">
        <v>1976</v>
      </c>
      <c r="D1672" s="174" t="s">
        <v>1977</v>
      </c>
      <c r="E1672" s="174"/>
      <c r="F1672" s="72" t="s">
        <v>203</v>
      </c>
      <c r="G1672" s="90">
        <v>1</v>
      </c>
      <c r="H1672" s="91"/>
      <c r="I1672" s="92" t="s">
        <v>63</v>
      </c>
      <c r="J1672" s="90">
        <f>G1672*AO1672</f>
        <v>0</v>
      </c>
      <c r="K1672" s="90">
        <f>G1672*AP1672</f>
        <v>0</v>
      </c>
      <c r="L1672" s="90">
        <f>G1672*H1672</f>
        <v>0</v>
      </c>
      <c r="M1672" s="90">
        <f>L1672*(1+BW1672/100)</f>
        <v>0</v>
      </c>
      <c r="N1672" s="90">
        <v>0</v>
      </c>
      <c r="O1672" s="90">
        <f>G1672*N1672</f>
        <v>0</v>
      </c>
      <c r="P1672" s="92" t="s">
        <v>1647</v>
      </c>
      <c r="Z1672" s="93">
        <f>IF(AQ1672="5",BJ1672,0)</f>
        <v>0</v>
      </c>
      <c r="AB1672" s="93">
        <f>IF(AQ1672="1",BH1672,0)</f>
        <v>0</v>
      </c>
      <c r="AC1672" s="93">
        <f>IF(AQ1672="1",BI1672,0)</f>
        <v>0</v>
      </c>
      <c r="AD1672" s="93">
        <f>IF(AQ1672="7",BH1672,0)</f>
        <v>0</v>
      </c>
      <c r="AE1672" s="93">
        <f>IF(AQ1672="7",BI1672,0)</f>
        <v>0</v>
      </c>
      <c r="AF1672" s="93">
        <f>IF(AQ1672="2",BH1672,0)</f>
        <v>0</v>
      </c>
      <c r="AG1672" s="93">
        <f>IF(AQ1672="2",BI1672,0)</f>
        <v>0</v>
      </c>
      <c r="AH1672" s="93">
        <f>IF(AQ1672="0",BJ1672,0)</f>
        <v>0</v>
      </c>
      <c r="AI1672" s="88" t="s">
        <v>55</v>
      </c>
      <c r="AJ1672" s="93">
        <f>IF(AN1672=0,L1672,0)</f>
        <v>0</v>
      </c>
      <c r="AK1672" s="93">
        <f>IF(AN1672=12,L1672,0)</f>
        <v>0</v>
      </c>
      <c r="AL1672" s="93">
        <f>IF(AN1672=21,L1672,0)</f>
        <v>0</v>
      </c>
      <c r="AN1672" s="93">
        <v>21</v>
      </c>
      <c r="AO1672" s="93">
        <f>H1672*1</f>
        <v>0</v>
      </c>
      <c r="AP1672" s="93">
        <f>H1672*(1-1)</f>
        <v>0</v>
      </c>
      <c r="AQ1672" s="94" t="s">
        <v>148</v>
      </c>
      <c r="AV1672" s="93">
        <f>AW1672+AX1672</f>
        <v>0</v>
      </c>
      <c r="AW1672" s="93">
        <f>G1672*AO1672</f>
        <v>0</v>
      </c>
      <c r="AX1672" s="93">
        <f>G1672*AP1672</f>
        <v>0</v>
      </c>
      <c r="AY1672" s="94" t="s">
        <v>1914</v>
      </c>
      <c r="AZ1672" s="94" t="s">
        <v>1915</v>
      </c>
      <c r="BA1672" s="88" t="s">
        <v>67</v>
      </c>
      <c r="BC1672" s="93">
        <f>AW1672+AX1672</f>
        <v>0</v>
      </c>
      <c r="BD1672" s="93">
        <f>H1672/(100-BE1672)*100</f>
        <v>0</v>
      </c>
      <c r="BE1672" s="93">
        <v>0</v>
      </c>
      <c r="BF1672" s="93">
        <f>O1672</f>
        <v>0</v>
      </c>
      <c r="BH1672" s="93">
        <f>G1672*AO1672</f>
        <v>0</v>
      </c>
      <c r="BI1672" s="93">
        <f>G1672*AP1672</f>
        <v>0</v>
      </c>
      <c r="BJ1672" s="93">
        <f>G1672*H1672</f>
        <v>0</v>
      </c>
      <c r="BK1672" s="93"/>
      <c r="BL1672" s="93">
        <v>732</v>
      </c>
      <c r="BW1672" s="93" t="str">
        <f>I1672</f>
        <v>21</v>
      </c>
      <c r="BX1672" s="2" t="s">
        <v>1977</v>
      </c>
    </row>
    <row r="1673" spans="1:76" s="81" customFormat="1" ht="25.5" x14ac:dyDescent="0.25">
      <c r="A1673" s="66" t="s">
        <v>1983</v>
      </c>
      <c r="B1673" s="72" t="s">
        <v>55</v>
      </c>
      <c r="C1673" s="72" t="s">
        <v>1979</v>
      </c>
      <c r="D1673" s="174" t="s">
        <v>1980</v>
      </c>
      <c r="E1673" s="174"/>
      <c r="F1673" s="72" t="s">
        <v>1447</v>
      </c>
      <c r="G1673" s="91"/>
      <c r="H1673" s="91"/>
      <c r="I1673" s="92" t="s">
        <v>63</v>
      </c>
      <c r="J1673" s="90">
        <f>G1673*AO1673</f>
        <v>0</v>
      </c>
      <c r="K1673" s="90">
        <f>G1673*AP1673</f>
        <v>0</v>
      </c>
      <c r="L1673" s="90">
        <f>G1673*H1673</f>
        <v>0</v>
      </c>
      <c r="M1673" s="90">
        <f>L1673*(1+BW1673/100)</f>
        <v>0</v>
      </c>
      <c r="N1673" s="90">
        <v>0</v>
      </c>
      <c r="O1673" s="90">
        <f>G1673*N1673</f>
        <v>0</v>
      </c>
      <c r="P1673" s="92" t="s">
        <v>371</v>
      </c>
      <c r="Z1673" s="93">
        <f>IF(AQ1673="5",BJ1673,0)</f>
        <v>0</v>
      </c>
      <c r="AB1673" s="93">
        <f>IF(AQ1673="1",BH1673,0)</f>
        <v>0</v>
      </c>
      <c r="AC1673" s="93">
        <f>IF(AQ1673="1",BI1673,0)</f>
        <v>0</v>
      </c>
      <c r="AD1673" s="93">
        <f>IF(AQ1673="7",BH1673,0)</f>
        <v>0</v>
      </c>
      <c r="AE1673" s="93">
        <f>IF(AQ1673="7",BI1673,0)</f>
        <v>0</v>
      </c>
      <c r="AF1673" s="93">
        <f>IF(AQ1673="2",BH1673,0)</f>
        <v>0</v>
      </c>
      <c r="AG1673" s="93">
        <f>IF(AQ1673="2",BI1673,0)</f>
        <v>0</v>
      </c>
      <c r="AH1673" s="93">
        <f>IF(AQ1673="0",BJ1673,0)</f>
        <v>0</v>
      </c>
      <c r="AI1673" s="88" t="s">
        <v>55</v>
      </c>
      <c r="AJ1673" s="93">
        <f>IF(AN1673=0,L1673,0)</f>
        <v>0</v>
      </c>
      <c r="AK1673" s="93">
        <f>IF(AN1673=12,L1673,0)</f>
        <v>0</v>
      </c>
      <c r="AL1673" s="93">
        <f>IF(AN1673=21,L1673,0)</f>
        <v>0</v>
      </c>
      <c r="AN1673" s="93">
        <v>21</v>
      </c>
      <c r="AO1673" s="93">
        <f>H1673*0</f>
        <v>0</v>
      </c>
      <c r="AP1673" s="93">
        <f>H1673*(1-0)</f>
        <v>0</v>
      </c>
      <c r="AQ1673" s="94" t="s">
        <v>136</v>
      </c>
      <c r="AV1673" s="93">
        <f>AW1673+AX1673</f>
        <v>0</v>
      </c>
      <c r="AW1673" s="93">
        <f>G1673*AO1673</f>
        <v>0</v>
      </c>
      <c r="AX1673" s="93">
        <f>G1673*AP1673</f>
        <v>0</v>
      </c>
      <c r="AY1673" s="94" t="s">
        <v>1914</v>
      </c>
      <c r="AZ1673" s="94" t="s">
        <v>1915</v>
      </c>
      <c r="BA1673" s="88" t="s">
        <v>67</v>
      </c>
      <c r="BC1673" s="93">
        <f>AW1673+AX1673</f>
        <v>0</v>
      </c>
      <c r="BD1673" s="93">
        <f>H1673/(100-BE1673)*100</f>
        <v>0</v>
      </c>
      <c r="BE1673" s="93">
        <v>0</v>
      </c>
      <c r="BF1673" s="93">
        <f>O1673</f>
        <v>0</v>
      </c>
      <c r="BH1673" s="93">
        <f>G1673*AO1673</f>
        <v>0</v>
      </c>
      <c r="BI1673" s="93">
        <f>G1673*AP1673</f>
        <v>0</v>
      </c>
      <c r="BJ1673" s="93">
        <f>G1673*H1673</f>
        <v>0</v>
      </c>
      <c r="BK1673" s="93"/>
      <c r="BL1673" s="93">
        <v>732</v>
      </c>
      <c r="BW1673" s="93" t="str">
        <f>I1673</f>
        <v>21</v>
      </c>
      <c r="BX1673" s="2" t="s">
        <v>1980</v>
      </c>
    </row>
    <row r="1674" spans="1:76" s="81" customFormat="1" x14ac:dyDescent="0.25">
      <c r="A1674" s="109" t="s">
        <v>54</v>
      </c>
      <c r="B1674" s="74" t="s">
        <v>55</v>
      </c>
      <c r="C1674" s="74" t="s">
        <v>1981</v>
      </c>
      <c r="D1674" s="180" t="s">
        <v>1982</v>
      </c>
      <c r="E1674" s="180"/>
      <c r="F1674" s="85" t="s">
        <v>4</v>
      </c>
      <c r="G1674" s="85" t="s">
        <v>4</v>
      </c>
      <c r="H1674" s="98"/>
      <c r="I1674" s="85" t="s">
        <v>4</v>
      </c>
      <c r="J1674" s="86">
        <f>SUM(J1675:J1700)</f>
        <v>0</v>
      </c>
      <c r="K1674" s="86">
        <f>SUM(K1675:K1700)</f>
        <v>0</v>
      </c>
      <c r="L1674" s="86">
        <f>SUM(L1675:L1700)</f>
        <v>0</v>
      </c>
      <c r="M1674" s="86">
        <f>SUM(M1675:M1700)</f>
        <v>0</v>
      </c>
      <c r="N1674" s="87" t="s">
        <v>54</v>
      </c>
      <c r="O1674" s="86">
        <f>SUM(O1675:O1700)</f>
        <v>1.3903000000000001</v>
      </c>
      <c r="P1674" s="87" t="s">
        <v>54</v>
      </c>
      <c r="AI1674" s="88" t="s">
        <v>55</v>
      </c>
      <c r="AS1674" s="89">
        <f>SUM(AJ1675:AJ1700)</f>
        <v>0</v>
      </c>
      <c r="AT1674" s="89">
        <f>SUM(AK1675:AK1700)</f>
        <v>0</v>
      </c>
      <c r="AU1674" s="89">
        <f>SUM(AL1675:AL1700)</f>
        <v>0</v>
      </c>
    </row>
    <row r="1675" spans="1:76" s="81" customFormat="1" ht="25.5" x14ac:dyDescent="0.25">
      <c r="A1675" s="66" t="s">
        <v>1987</v>
      </c>
      <c r="B1675" s="72" t="s">
        <v>55</v>
      </c>
      <c r="C1675" s="72" t="s">
        <v>1984</v>
      </c>
      <c r="D1675" s="174" t="s">
        <v>1985</v>
      </c>
      <c r="E1675" s="174"/>
      <c r="F1675" s="72" t="s">
        <v>213</v>
      </c>
      <c r="G1675" s="90">
        <v>360</v>
      </c>
      <c r="H1675" s="91"/>
      <c r="I1675" s="92" t="s">
        <v>63</v>
      </c>
      <c r="J1675" s="90">
        <f t="shared" ref="J1675:J1682" si="253">G1675*AO1675</f>
        <v>0</v>
      </c>
      <c r="K1675" s="90">
        <f t="shared" ref="K1675:K1682" si="254">G1675*AP1675</f>
        <v>0</v>
      </c>
      <c r="L1675" s="90">
        <f t="shared" ref="L1675:L1682" si="255">G1675*H1675</f>
        <v>0</v>
      </c>
      <c r="M1675" s="90">
        <f t="shared" ref="M1675:M1682" si="256">L1675*(1+BW1675/100)</f>
        <v>0</v>
      </c>
      <c r="N1675" s="90">
        <v>7.6000000000000004E-4</v>
      </c>
      <c r="O1675" s="90">
        <f t="shared" ref="O1675:O1682" si="257">G1675*N1675</f>
        <v>0.27360000000000001</v>
      </c>
      <c r="P1675" s="92" t="s">
        <v>64</v>
      </c>
      <c r="Z1675" s="93">
        <f t="shared" ref="Z1675:Z1682" si="258">IF(AQ1675="5",BJ1675,0)</f>
        <v>0</v>
      </c>
      <c r="AB1675" s="93">
        <f t="shared" ref="AB1675:AB1682" si="259">IF(AQ1675="1",BH1675,0)</f>
        <v>0</v>
      </c>
      <c r="AC1675" s="93">
        <f t="shared" ref="AC1675:AC1682" si="260">IF(AQ1675="1",BI1675,0)</f>
        <v>0</v>
      </c>
      <c r="AD1675" s="93">
        <f t="shared" ref="AD1675:AD1682" si="261">IF(AQ1675="7",BH1675,0)</f>
        <v>0</v>
      </c>
      <c r="AE1675" s="93">
        <f t="shared" ref="AE1675:AE1682" si="262">IF(AQ1675="7",BI1675,0)</f>
        <v>0</v>
      </c>
      <c r="AF1675" s="93">
        <f t="shared" ref="AF1675:AF1682" si="263">IF(AQ1675="2",BH1675,0)</f>
        <v>0</v>
      </c>
      <c r="AG1675" s="93">
        <f t="shared" ref="AG1675:AG1682" si="264">IF(AQ1675="2",BI1675,0)</f>
        <v>0</v>
      </c>
      <c r="AH1675" s="93">
        <f t="shared" ref="AH1675:AH1682" si="265">IF(AQ1675="0",BJ1675,0)</f>
        <v>0</v>
      </c>
      <c r="AI1675" s="88" t="s">
        <v>55</v>
      </c>
      <c r="AJ1675" s="93">
        <f t="shared" ref="AJ1675:AJ1682" si="266">IF(AN1675=0,L1675,0)</f>
        <v>0</v>
      </c>
      <c r="AK1675" s="93">
        <f t="shared" ref="AK1675:AK1682" si="267">IF(AN1675=12,L1675,0)</f>
        <v>0</v>
      </c>
      <c r="AL1675" s="93">
        <f t="shared" ref="AL1675:AL1682" si="268">IF(AN1675=21,L1675,0)</f>
        <v>0</v>
      </c>
      <c r="AN1675" s="93">
        <v>21</v>
      </c>
      <c r="AO1675" s="93">
        <f>H1675*0.609094875</f>
        <v>0</v>
      </c>
      <c r="AP1675" s="93">
        <f>H1675*(1-0.609094875)</f>
        <v>0</v>
      </c>
      <c r="AQ1675" s="94" t="s">
        <v>148</v>
      </c>
      <c r="AV1675" s="93">
        <f t="shared" ref="AV1675:AV1682" si="269">AW1675+AX1675</f>
        <v>0</v>
      </c>
      <c r="AW1675" s="93">
        <f t="shared" ref="AW1675:AW1682" si="270">G1675*AO1675</f>
        <v>0</v>
      </c>
      <c r="AX1675" s="93">
        <f t="shared" ref="AX1675:AX1682" si="271">G1675*AP1675</f>
        <v>0</v>
      </c>
      <c r="AY1675" s="94" t="s">
        <v>1986</v>
      </c>
      <c r="AZ1675" s="94" t="s">
        <v>1915</v>
      </c>
      <c r="BA1675" s="88" t="s">
        <v>67</v>
      </c>
      <c r="BC1675" s="93">
        <f t="shared" ref="BC1675:BC1682" si="272">AW1675+AX1675</f>
        <v>0</v>
      </c>
      <c r="BD1675" s="93">
        <f t="shared" ref="BD1675:BD1682" si="273">H1675/(100-BE1675)*100</f>
        <v>0</v>
      </c>
      <c r="BE1675" s="93">
        <v>0</v>
      </c>
      <c r="BF1675" s="93">
        <f t="shared" ref="BF1675:BF1682" si="274">O1675</f>
        <v>0.27360000000000001</v>
      </c>
      <c r="BH1675" s="93">
        <f t="shared" ref="BH1675:BH1682" si="275">G1675*AO1675</f>
        <v>0</v>
      </c>
      <c r="BI1675" s="93">
        <f t="shared" ref="BI1675:BI1682" si="276">G1675*AP1675</f>
        <v>0</v>
      </c>
      <c r="BJ1675" s="93">
        <f t="shared" ref="BJ1675:BJ1682" si="277">G1675*H1675</f>
        <v>0</v>
      </c>
      <c r="BK1675" s="93"/>
      <c r="BL1675" s="93">
        <v>733</v>
      </c>
      <c r="BW1675" s="93" t="str">
        <f t="shared" ref="BW1675:BW1682" si="278">I1675</f>
        <v>21</v>
      </c>
      <c r="BX1675" s="2" t="s">
        <v>1985</v>
      </c>
    </row>
    <row r="1676" spans="1:76" s="81" customFormat="1" ht="25.5" x14ac:dyDescent="0.25">
      <c r="A1676" s="66" t="s">
        <v>1990</v>
      </c>
      <c r="B1676" s="72" t="s">
        <v>55</v>
      </c>
      <c r="C1676" s="72" t="s">
        <v>1988</v>
      </c>
      <c r="D1676" s="174" t="s">
        <v>1989</v>
      </c>
      <c r="E1676" s="174"/>
      <c r="F1676" s="72" t="s">
        <v>213</v>
      </c>
      <c r="G1676" s="90">
        <v>130</v>
      </c>
      <c r="H1676" s="91"/>
      <c r="I1676" s="92" t="s">
        <v>63</v>
      </c>
      <c r="J1676" s="90">
        <f t="shared" si="253"/>
        <v>0</v>
      </c>
      <c r="K1676" s="90">
        <f t="shared" si="254"/>
        <v>0</v>
      </c>
      <c r="L1676" s="90">
        <f t="shared" si="255"/>
        <v>0</v>
      </c>
      <c r="M1676" s="90">
        <f t="shared" si="256"/>
        <v>0</v>
      </c>
      <c r="N1676" s="90">
        <v>8.8000000000000003E-4</v>
      </c>
      <c r="O1676" s="90">
        <f t="shared" si="257"/>
        <v>0.1144</v>
      </c>
      <c r="P1676" s="92" t="s">
        <v>64</v>
      </c>
      <c r="Z1676" s="93">
        <f t="shared" si="258"/>
        <v>0</v>
      </c>
      <c r="AB1676" s="93">
        <f t="shared" si="259"/>
        <v>0</v>
      </c>
      <c r="AC1676" s="93">
        <f t="shared" si="260"/>
        <v>0</v>
      </c>
      <c r="AD1676" s="93">
        <f t="shared" si="261"/>
        <v>0</v>
      </c>
      <c r="AE1676" s="93">
        <f t="shared" si="262"/>
        <v>0</v>
      </c>
      <c r="AF1676" s="93">
        <f t="shared" si="263"/>
        <v>0</v>
      </c>
      <c r="AG1676" s="93">
        <f t="shared" si="264"/>
        <v>0</v>
      </c>
      <c r="AH1676" s="93">
        <f t="shared" si="265"/>
        <v>0</v>
      </c>
      <c r="AI1676" s="88" t="s">
        <v>55</v>
      </c>
      <c r="AJ1676" s="93">
        <f t="shared" si="266"/>
        <v>0</v>
      </c>
      <c r="AK1676" s="93">
        <f t="shared" si="267"/>
        <v>0</v>
      </c>
      <c r="AL1676" s="93">
        <f t="shared" si="268"/>
        <v>0</v>
      </c>
      <c r="AN1676" s="93">
        <v>21</v>
      </c>
      <c r="AO1676" s="93">
        <f>H1676*0.646990476</f>
        <v>0</v>
      </c>
      <c r="AP1676" s="93">
        <f>H1676*(1-0.646990476)</f>
        <v>0</v>
      </c>
      <c r="AQ1676" s="94" t="s">
        <v>148</v>
      </c>
      <c r="AV1676" s="93">
        <f t="shared" si="269"/>
        <v>0</v>
      </c>
      <c r="AW1676" s="93">
        <f t="shared" si="270"/>
        <v>0</v>
      </c>
      <c r="AX1676" s="93">
        <f t="shared" si="271"/>
        <v>0</v>
      </c>
      <c r="AY1676" s="94" t="s">
        <v>1986</v>
      </c>
      <c r="AZ1676" s="94" t="s">
        <v>1915</v>
      </c>
      <c r="BA1676" s="88" t="s">
        <v>67</v>
      </c>
      <c r="BC1676" s="93">
        <f t="shared" si="272"/>
        <v>0</v>
      </c>
      <c r="BD1676" s="93">
        <f t="shared" si="273"/>
        <v>0</v>
      </c>
      <c r="BE1676" s="93">
        <v>0</v>
      </c>
      <c r="BF1676" s="93">
        <f t="shared" si="274"/>
        <v>0.1144</v>
      </c>
      <c r="BH1676" s="93">
        <f t="shared" si="275"/>
        <v>0</v>
      </c>
      <c r="BI1676" s="93">
        <f t="shared" si="276"/>
        <v>0</v>
      </c>
      <c r="BJ1676" s="93">
        <f t="shared" si="277"/>
        <v>0</v>
      </c>
      <c r="BK1676" s="93"/>
      <c r="BL1676" s="93">
        <v>733</v>
      </c>
      <c r="BW1676" s="93" t="str">
        <f t="shared" si="278"/>
        <v>21</v>
      </c>
      <c r="BX1676" s="2" t="s">
        <v>1989</v>
      </c>
    </row>
    <row r="1677" spans="1:76" s="81" customFormat="1" ht="25.5" x14ac:dyDescent="0.25">
      <c r="A1677" s="66" t="s">
        <v>1993</v>
      </c>
      <c r="B1677" s="72" t="s">
        <v>55</v>
      </c>
      <c r="C1677" s="72" t="s">
        <v>1991</v>
      </c>
      <c r="D1677" s="174" t="s">
        <v>1992</v>
      </c>
      <c r="E1677" s="174"/>
      <c r="F1677" s="72" t="s">
        <v>213</v>
      </c>
      <c r="G1677" s="90">
        <v>100</v>
      </c>
      <c r="H1677" s="91"/>
      <c r="I1677" s="92" t="s">
        <v>63</v>
      </c>
      <c r="J1677" s="90">
        <f t="shared" si="253"/>
        <v>0</v>
      </c>
      <c r="K1677" s="90">
        <f t="shared" si="254"/>
        <v>0</v>
      </c>
      <c r="L1677" s="90">
        <f t="shared" si="255"/>
        <v>0</v>
      </c>
      <c r="M1677" s="90">
        <f t="shared" si="256"/>
        <v>0</v>
      </c>
      <c r="N1677" s="90">
        <v>1.01E-3</v>
      </c>
      <c r="O1677" s="90">
        <f t="shared" si="257"/>
        <v>0.10100000000000001</v>
      </c>
      <c r="P1677" s="92" t="s">
        <v>64</v>
      </c>
      <c r="Z1677" s="93">
        <f t="shared" si="258"/>
        <v>0</v>
      </c>
      <c r="AB1677" s="93">
        <f t="shared" si="259"/>
        <v>0</v>
      </c>
      <c r="AC1677" s="93">
        <f t="shared" si="260"/>
        <v>0</v>
      </c>
      <c r="AD1677" s="93">
        <f t="shared" si="261"/>
        <v>0</v>
      </c>
      <c r="AE1677" s="93">
        <f t="shared" si="262"/>
        <v>0</v>
      </c>
      <c r="AF1677" s="93">
        <f t="shared" si="263"/>
        <v>0</v>
      </c>
      <c r="AG1677" s="93">
        <f t="shared" si="264"/>
        <v>0</v>
      </c>
      <c r="AH1677" s="93">
        <f t="shared" si="265"/>
        <v>0</v>
      </c>
      <c r="AI1677" s="88" t="s">
        <v>55</v>
      </c>
      <c r="AJ1677" s="93">
        <f t="shared" si="266"/>
        <v>0</v>
      </c>
      <c r="AK1677" s="93">
        <f t="shared" si="267"/>
        <v>0</v>
      </c>
      <c r="AL1677" s="93">
        <f t="shared" si="268"/>
        <v>0</v>
      </c>
      <c r="AN1677" s="93">
        <v>21</v>
      </c>
      <c r="AO1677" s="93">
        <f>H1677*0.682009967</f>
        <v>0</v>
      </c>
      <c r="AP1677" s="93">
        <f>H1677*(1-0.682009967)</f>
        <v>0</v>
      </c>
      <c r="AQ1677" s="94" t="s">
        <v>148</v>
      </c>
      <c r="AV1677" s="93">
        <f t="shared" si="269"/>
        <v>0</v>
      </c>
      <c r="AW1677" s="93">
        <f t="shared" si="270"/>
        <v>0</v>
      </c>
      <c r="AX1677" s="93">
        <f t="shared" si="271"/>
        <v>0</v>
      </c>
      <c r="AY1677" s="94" t="s">
        <v>1986</v>
      </c>
      <c r="AZ1677" s="94" t="s">
        <v>1915</v>
      </c>
      <c r="BA1677" s="88" t="s">
        <v>67</v>
      </c>
      <c r="BC1677" s="93">
        <f t="shared" si="272"/>
        <v>0</v>
      </c>
      <c r="BD1677" s="93">
        <f t="shared" si="273"/>
        <v>0</v>
      </c>
      <c r="BE1677" s="93">
        <v>0</v>
      </c>
      <c r="BF1677" s="93">
        <f t="shared" si="274"/>
        <v>0.10100000000000001</v>
      </c>
      <c r="BH1677" s="93">
        <f t="shared" si="275"/>
        <v>0</v>
      </c>
      <c r="BI1677" s="93">
        <f t="shared" si="276"/>
        <v>0</v>
      </c>
      <c r="BJ1677" s="93">
        <f t="shared" si="277"/>
        <v>0</v>
      </c>
      <c r="BK1677" s="93"/>
      <c r="BL1677" s="93">
        <v>733</v>
      </c>
      <c r="BW1677" s="93" t="str">
        <f t="shared" si="278"/>
        <v>21</v>
      </c>
      <c r="BX1677" s="2" t="s">
        <v>1992</v>
      </c>
    </row>
    <row r="1678" spans="1:76" s="81" customFormat="1" ht="25.5" x14ac:dyDescent="0.25">
      <c r="A1678" s="66" t="s">
        <v>1996</v>
      </c>
      <c r="B1678" s="72" t="s">
        <v>55</v>
      </c>
      <c r="C1678" s="72" t="s">
        <v>1994</v>
      </c>
      <c r="D1678" s="174" t="s">
        <v>1995</v>
      </c>
      <c r="E1678" s="174"/>
      <c r="F1678" s="72" t="s">
        <v>213</v>
      </c>
      <c r="G1678" s="90">
        <v>140</v>
      </c>
      <c r="H1678" s="91"/>
      <c r="I1678" s="92" t="s">
        <v>63</v>
      </c>
      <c r="J1678" s="90">
        <f t="shared" si="253"/>
        <v>0</v>
      </c>
      <c r="K1678" s="90">
        <f t="shared" si="254"/>
        <v>0</v>
      </c>
      <c r="L1678" s="90">
        <f t="shared" si="255"/>
        <v>0</v>
      </c>
      <c r="M1678" s="90">
        <f t="shared" si="256"/>
        <v>0</v>
      </c>
      <c r="N1678" s="90">
        <v>1.6000000000000001E-3</v>
      </c>
      <c r="O1678" s="90">
        <f t="shared" si="257"/>
        <v>0.224</v>
      </c>
      <c r="P1678" s="92" t="s">
        <v>64</v>
      </c>
      <c r="Z1678" s="93">
        <f t="shared" si="258"/>
        <v>0</v>
      </c>
      <c r="AB1678" s="93">
        <f t="shared" si="259"/>
        <v>0</v>
      </c>
      <c r="AC1678" s="93">
        <f t="shared" si="260"/>
        <v>0</v>
      </c>
      <c r="AD1678" s="93">
        <f t="shared" si="261"/>
        <v>0</v>
      </c>
      <c r="AE1678" s="93">
        <f t="shared" si="262"/>
        <v>0</v>
      </c>
      <c r="AF1678" s="93">
        <f t="shared" si="263"/>
        <v>0</v>
      </c>
      <c r="AG1678" s="93">
        <f t="shared" si="264"/>
        <v>0</v>
      </c>
      <c r="AH1678" s="93">
        <f t="shared" si="265"/>
        <v>0</v>
      </c>
      <c r="AI1678" s="88" t="s">
        <v>55</v>
      </c>
      <c r="AJ1678" s="93">
        <f t="shared" si="266"/>
        <v>0</v>
      </c>
      <c r="AK1678" s="93">
        <f t="shared" si="267"/>
        <v>0</v>
      </c>
      <c r="AL1678" s="93">
        <f t="shared" si="268"/>
        <v>0</v>
      </c>
      <c r="AN1678" s="93">
        <v>21</v>
      </c>
      <c r="AO1678" s="93">
        <f>H1678*0.770105485</f>
        <v>0</v>
      </c>
      <c r="AP1678" s="93">
        <f>H1678*(1-0.770105485)</f>
        <v>0</v>
      </c>
      <c r="AQ1678" s="94" t="s">
        <v>148</v>
      </c>
      <c r="AV1678" s="93">
        <f t="shared" si="269"/>
        <v>0</v>
      </c>
      <c r="AW1678" s="93">
        <f t="shared" si="270"/>
        <v>0</v>
      </c>
      <c r="AX1678" s="93">
        <f t="shared" si="271"/>
        <v>0</v>
      </c>
      <c r="AY1678" s="94" t="s">
        <v>1986</v>
      </c>
      <c r="AZ1678" s="94" t="s">
        <v>1915</v>
      </c>
      <c r="BA1678" s="88" t="s">
        <v>67</v>
      </c>
      <c r="BC1678" s="93">
        <f t="shared" si="272"/>
        <v>0</v>
      </c>
      <c r="BD1678" s="93">
        <f t="shared" si="273"/>
        <v>0</v>
      </c>
      <c r="BE1678" s="93">
        <v>0</v>
      </c>
      <c r="BF1678" s="93">
        <f t="shared" si="274"/>
        <v>0.224</v>
      </c>
      <c r="BH1678" s="93">
        <f t="shared" si="275"/>
        <v>0</v>
      </c>
      <c r="BI1678" s="93">
        <f t="shared" si="276"/>
        <v>0</v>
      </c>
      <c r="BJ1678" s="93">
        <f t="shared" si="277"/>
        <v>0</v>
      </c>
      <c r="BK1678" s="93"/>
      <c r="BL1678" s="93">
        <v>733</v>
      </c>
      <c r="BW1678" s="93" t="str">
        <f t="shared" si="278"/>
        <v>21</v>
      </c>
      <c r="BX1678" s="2" t="s">
        <v>1995</v>
      </c>
    </row>
    <row r="1679" spans="1:76" s="81" customFormat="1" ht="25.5" x14ac:dyDescent="0.25">
      <c r="A1679" s="66" t="s">
        <v>1999</v>
      </c>
      <c r="B1679" s="72" t="s">
        <v>55</v>
      </c>
      <c r="C1679" s="72" t="s">
        <v>1997</v>
      </c>
      <c r="D1679" s="174" t="s">
        <v>1998</v>
      </c>
      <c r="E1679" s="174"/>
      <c r="F1679" s="72" t="s">
        <v>213</v>
      </c>
      <c r="G1679" s="90">
        <v>50</v>
      </c>
      <c r="H1679" s="91"/>
      <c r="I1679" s="92" t="s">
        <v>63</v>
      </c>
      <c r="J1679" s="90">
        <f t="shared" si="253"/>
        <v>0</v>
      </c>
      <c r="K1679" s="90">
        <f t="shared" si="254"/>
        <v>0</v>
      </c>
      <c r="L1679" s="90">
        <f t="shared" si="255"/>
        <v>0</v>
      </c>
      <c r="M1679" s="90">
        <f t="shared" si="256"/>
        <v>0</v>
      </c>
      <c r="N1679" s="90">
        <v>1.9599999999999999E-3</v>
      </c>
      <c r="O1679" s="90">
        <f t="shared" si="257"/>
        <v>9.8000000000000004E-2</v>
      </c>
      <c r="P1679" s="92" t="s">
        <v>64</v>
      </c>
      <c r="Z1679" s="93">
        <f t="shared" si="258"/>
        <v>0</v>
      </c>
      <c r="AB1679" s="93">
        <f t="shared" si="259"/>
        <v>0</v>
      </c>
      <c r="AC1679" s="93">
        <f t="shared" si="260"/>
        <v>0</v>
      </c>
      <c r="AD1679" s="93">
        <f t="shared" si="261"/>
        <v>0</v>
      </c>
      <c r="AE1679" s="93">
        <f t="shared" si="262"/>
        <v>0</v>
      </c>
      <c r="AF1679" s="93">
        <f t="shared" si="263"/>
        <v>0</v>
      </c>
      <c r="AG1679" s="93">
        <f t="shared" si="264"/>
        <v>0</v>
      </c>
      <c r="AH1679" s="93">
        <f t="shared" si="265"/>
        <v>0</v>
      </c>
      <c r="AI1679" s="88" t="s">
        <v>55</v>
      </c>
      <c r="AJ1679" s="93">
        <f t="shared" si="266"/>
        <v>0</v>
      </c>
      <c r="AK1679" s="93">
        <f t="shared" si="267"/>
        <v>0</v>
      </c>
      <c r="AL1679" s="93">
        <f t="shared" si="268"/>
        <v>0</v>
      </c>
      <c r="AN1679" s="93">
        <v>21</v>
      </c>
      <c r="AO1679" s="93">
        <f>H1679*0.80837766</f>
        <v>0</v>
      </c>
      <c r="AP1679" s="93">
        <f>H1679*(1-0.80837766)</f>
        <v>0</v>
      </c>
      <c r="AQ1679" s="94" t="s">
        <v>148</v>
      </c>
      <c r="AV1679" s="93">
        <f t="shared" si="269"/>
        <v>0</v>
      </c>
      <c r="AW1679" s="93">
        <f t="shared" si="270"/>
        <v>0</v>
      </c>
      <c r="AX1679" s="93">
        <f t="shared" si="271"/>
        <v>0</v>
      </c>
      <c r="AY1679" s="94" t="s">
        <v>1986</v>
      </c>
      <c r="AZ1679" s="94" t="s">
        <v>1915</v>
      </c>
      <c r="BA1679" s="88" t="s">
        <v>67</v>
      </c>
      <c r="BC1679" s="93">
        <f t="shared" si="272"/>
        <v>0</v>
      </c>
      <c r="BD1679" s="93">
        <f t="shared" si="273"/>
        <v>0</v>
      </c>
      <c r="BE1679" s="93">
        <v>0</v>
      </c>
      <c r="BF1679" s="93">
        <f t="shared" si="274"/>
        <v>9.8000000000000004E-2</v>
      </c>
      <c r="BH1679" s="93">
        <f t="shared" si="275"/>
        <v>0</v>
      </c>
      <c r="BI1679" s="93">
        <f t="shared" si="276"/>
        <v>0</v>
      </c>
      <c r="BJ1679" s="93">
        <f t="shared" si="277"/>
        <v>0</v>
      </c>
      <c r="BK1679" s="93"/>
      <c r="BL1679" s="93">
        <v>733</v>
      </c>
      <c r="BW1679" s="93" t="str">
        <f t="shared" si="278"/>
        <v>21</v>
      </c>
      <c r="BX1679" s="2" t="s">
        <v>1998</v>
      </c>
    </row>
    <row r="1680" spans="1:76" s="81" customFormat="1" ht="25.5" x14ac:dyDescent="0.25">
      <c r="A1680" s="66" t="s">
        <v>2002</v>
      </c>
      <c r="B1680" s="72" t="s">
        <v>55</v>
      </c>
      <c r="C1680" s="72" t="s">
        <v>2000</v>
      </c>
      <c r="D1680" s="174" t="s">
        <v>2001</v>
      </c>
      <c r="E1680" s="174"/>
      <c r="F1680" s="72" t="s">
        <v>213</v>
      </c>
      <c r="G1680" s="90">
        <v>200</v>
      </c>
      <c r="H1680" s="91"/>
      <c r="I1680" s="92" t="s">
        <v>63</v>
      </c>
      <c r="J1680" s="90">
        <f t="shared" si="253"/>
        <v>0</v>
      </c>
      <c r="K1680" s="90">
        <f t="shared" si="254"/>
        <v>0</v>
      </c>
      <c r="L1680" s="90">
        <f t="shared" si="255"/>
        <v>0</v>
      </c>
      <c r="M1680" s="90">
        <f t="shared" si="256"/>
        <v>0</v>
      </c>
      <c r="N1680" s="90">
        <v>2.31E-3</v>
      </c>
      <c r="O1680" s="90">
        <f t="shared" si="257"/>
        <v>0.46200000000000002</v>
      </c>
      <c r="P1680" s="92" t="s">
        <v>64</v>
      </c>
      <c r="Z1680" s="93">
        <f t="shared" si="258"/>
        <v>0</v>
      </c>
      <c r="AB1680" s="93">
        <f t="shared" si="259"/>
        <v>0</v>
      </c>
      <c r="AC1680" s="93">
        <f t="shared" si="260"/>
        <v>0</v>
      </c>
      <c r="AD1680" s="93">
        <f t="shared" si="261"/>
        <v>0</v>
      </c>
      <c r="AE1680" s="93">
        <f t="shared" si="262"/>
        <v>0</v>
      </c>
      <c r="AF1680" s="93">
        <f t="shared" si="263"/>
        <v>0</v>
      </c>
      <c r="AG1680" s="93">
        <f t="shared" si="264"/>
        <v>0</v>
      </c>
      <c r="AH1680" s="93">
        <f t="shared" si="265"/>
        <v>0</v>
      </c>
      <c r="AI1680" s="88" t="s">
        <v>55</v>
      </c>
      <c r="AJ1680" s="93">
        <f t="shared" si="266"/>
        <v>0</v>
      </c>
      <c r="AK1680" s="93">
        <f t="shared" si="267"/>
        <v>0</v>
      </c>
      <c r="AL1680" s="93">
        <f t="shared" si="268"/>
        <v>0</v>
      </c>
      <c r="AN1680" s="93">
        <v>21</v>
      </c>
      <c r="AO1680" s="93">
        <f>H1680*0.825423729</f>
        <v>0</v>
      </c>
      <c r="AP1680" s="93">
        <f>H1680*(1-0.825423729)</f>
        <v>0</v>
      </c>
      <c r="AQ1680" s="94" t="s">
        <v>148</v>
      </c>
      <c r="AV1680" s="93">
        <f t="shared" si="269"/>
        <v>0</v>
      </c>
      <c r="AW1680" s="93">
        <f t="shared" si="270"/>
        <v>0</v>
      </c>
      <c r="AX1680" s="93">
        <f t="shared" si="271"/>
        <v>0</v>
      </c>
      <c r="AY1680" s="94" t="s">
        <v>1986</v>
      </c>
      <c r="AZ1680" s="94" t="s">
        <v>1915</v>
      </c>
      <c r="BA1680" s="88" t="s">
        <v>67</v>
      </c>
      <c r="BC1680" s="93">
        <f t="shared" si="272"/>
        <v>0</v>
      </c>
      <c r="BD1680" s="93">
        <f t="shared" si="273"/>
        <v>0</v>
      </c>
      <c r="BE1680" s="93">
        <v>0</v>
      </c>
      <c r="BF1680" s="93">
        <f t="shared" si="274"/>
        <v>0.46200000000000002</v>
      </c>
      <c r="BH1680" s="93">
        <f t="shared" si="275"/>
        <v>0</v>
      </c>
      <c r="BI1680" s="93">
        <f t="shared" si="276"/>
        <v>0</v>
      </c>
      <c r="BJ1680" s="93">
        <f t="shared" si="277"/>
        <v>0</v>
      </c>
      <c r="BK1680" s="93"/>
      <c r="BL1680" s="93">
        <v>733</v>
      </c>
      <c r="BW1680" s="93" t="str">
        <f t="shared" si="278"/>
        <v>21</v>
      </c>
      <c r="BX1680" s="2" t="s">
        <v>2001</v>
      </c>
    </row>
    <row r="1681" spans="1:76" s="81" customFormat="1" ht="25.5" x14ac:dyDescent="0.25">
      <c r="A1681" s="66" t="s">
        <v>614</v>
      </c>
      <c r="B1681" s="72" t="s">
        <v>55</v>
      </c>
      <c r="C1681" s="72" t="s">
        <v>2003</v>
      </c>
      <c r="D1681" s="174" t="s">
        <v>2004</v>
      </c>
      <c r="E1681" s="174"/>
      <c r="F1681" s="72" t="s">
        <v>213</v>
      </c>
      <c r="G1681" s="90">
        <v>10</v>
      </c>
      <c r="H1681" s="91"/>
      <c r="I1681" s="92" t="s">
        <v>63</v>
      </c>
      <c r="J1681" s="90">
        <f t="shared" si="253"/>
        <v>0</v>
      </c>
      <c r="K1681" s="90">
        <f t="shared" si="254"/>
        <v>0</v>
      </c>
      <c r="L1681" s="90">
        <f t="shared" si="255"/>
        <v>0</v>
      </c>
      <c r="M1681" s="90">
        <f t="shared" si="256"/>
        <v>0</v>
      </c>
      <c r="N1681" s="90">
        <v>3.7399999999999998E-3</v>
      </c>
      <c r="O1681" s="90">
        <f t="shared" si="257"/>
        <v>3.7399999999999996E-2</v>
      </c>
      <c r="P1681" s="92" t="s">
        <v>64</v>
      </c>
      <c r="Z1681" s="93">
        <f t="shared" si="258"/>
        <v>0</v>
      </c>
      <c r="AB1681" s="93">
        <f t="shared" si="259"/>
        <v>0</v>
      </c>
      <c r="AC1681" s="93">
        <f t="shared" si="260"/>
        <v>0</v>
      </c>
      <c r="AD1681" s="93">
        <f t="shared" si="261"/>
        <v>0</v>
      </c>
      <c r="AE1681" s="93">
        <f t="shared" si="262"/>
        <v>0</v>
      </c>
      <c r="AF1681" s="93">
        <f t="shared" si="263"/>
        <v>0</v>
      </c>
      <c r="AG1681" s="93">
        <f t="shared" si="264"/>
        <v>0</v>
      </c>
      <c r="AH1681" s="93">
        <f t="shared" si="265"/>
        <v>0</v>
      </c>
      <c r="AI1681" s="88" t="s">
        <v>55</v>
      </c>
      <c r="AJ1681" s="93">
        <f t="shared" si="266"/>
        <v>0</v>
      </c>
      <c r="AK1681" s="93">
        <f t="shared" si="267"/>
        <v>0</v>
      </c>
      <c r="AL1681" s="93">
        <f t="shared" si="268"/>
        <v>0</v>
      </c>
      <c r="AN1681" s="93">
        <v>21</v>
      </c>
      <c r="AO1681" s="93">
        <f>H1681*0.874966186</f>
        <v>0</v>
      </c>
      <c r="AP1681" s="93">
        <f>H1681*(1-0.874966186)</f>
        <v>0</v>
      </c>
      <c r="AQ1681" s="94" t="s">
        <v>148</v>
      </c>
      <c r="AV1681" s="93">
        <f t="shared" si="269"/>
        <v>0</v>
      </c>
      <c r="AW1681" s="93">
        <f t="shared" si="270"/>
        <v>0</v>
      </c>
      <c r="AX1681" s="93">
        <f t="shared" si="271"/>
        <v>0</v>
      </c>
      <c r="AY1681" s="94" t="s">
        <v>1986</v>
      </c>
      <c r="AZ1681" s="94" t="s">
        <v>1915</v>
      </c>
      <c r="BA1681" s="88" t="s">
        <v>67</v>
      </c>
      <c r="BC1681" s="93">
        <f t="shared" si="272"/>
        <v>0</v>
      </c>
      <c r="BD1681" s="93">
        <f t="shared" si="273"/>
        <v>0</v>
      </c>
      <c r="BE1681" s="93">
        <v>0</v>
      </c>
      <c r="BF1681" s="93">
        <f t="shared" si="274"/>
        <v>3.7399999999999996E-2</v>
      </c>
      <c r="BH1681" s="93">
        <f t="shared" si="275"/>
        <v>0</v>
      </c>
      <c r="BI1681" s="93">
        <f t="shared" si="276"/>
        <v>0</v>
      </c>
      <c r="BJ1681" s="93">
        <f t="shared" si="277"/>
        <v>0</v>
      </c>
      <c r="BK1681" s="93"/>
      <c r="BL1681" s="93">
        <v>733</v>
      </c>
      <c r="BW1681" s="93" t="str">
        <f t="shared" si="278"/>
        <v>21</v>
      </c>
      <c r="BX1681" s="2" t="s">
        <v>2004</v>
      </c>
    </row>
    <row r="1682" spans="1:76" s="81" customFormat="1" ht="25.5" x14ac:dyDescent="0.25">
      <c r="A1682" s="66" t="s">
        <v>2008</v>
      </c>
      <c r="B1682" s="72" t="s">
        <v>55</v>
      </c>
      <c r="C1682" s="72" t="s">
        <v>2005</v>
      </c>
      <c r="D1682" s="174" t="s">
        <v>2006</v>
      </c>
      <c r="E1682" s="174"/>
      <c r="F1682" s="72" t="s">
        <v>213</v>
      </c>
      <c r="G1682" s="90">
        <v>360</v>
      </c>
      <c r="H1682" s="91"/>
      <c r="I1682" s="92" t="s">
        <v>63</v>
      </c>
      <c r="J1682" s="90">
        <f t="shared" si="253"/>
        <v>0</v>
      </c>
      <c r="K1682" s="90">
        <f t="shared" si="254"/>
        <v>0</v>
      </c>
      <c r="L1682" s="90">
        <f t="shared" si="255"/>
        <v>0</v>
      </c>
      <c r="M1682" s="90">
        <f t="shared" si="256"/>
        <v>0</v>
      </c>
      <c r="N1682" s="90">
        <v>2.0000000000000002E-5</v>
      </c>
      <c r="O1682" s="90">
        <f t="shared" si="257"/>
        <v>7.2000000000000007E-3</v>
      </c>
      <c r="P1682" s="92" t="s">
        <v>64</v>
      </c>
      <c r="Z1682" s="93">
        <f t="shared" si="258"/>
        <v>0</v>
      </c>
      <c r="AB1682" s="93">
        <f t="shared" si="259"/>
        <v>0</v>
      </c>
      <c r="AC1682" s="93">
        <f t="shared" si="260"/>
        <v>0</v>
      </c>
      <c r="AD1682" s="93">
        <f t="shared" si="261"/>
        <v>0</v>
      </c>
      <c r="AE1682" s="93">
        <f t="shared" si="262"/>
        <v>0</v>
      </c>
      <c r="AF1682" s="93">
        <f t="shared" si="263"/>
        <v>0</v>
      </c>
      <c r="AG1682" s="93">
        <f t="shared" si="264"/>
        <v>0</v>
      </c>
      <c r="AH1682" s="93">
        <f t="shared" si="265"/>
        <v>0</v>
      </c>
      <c r="AI1682" s="88" t="s">
        <v>55</v>
      </c>
      <c r="AJ1682" s="93">
        <f t="shared" si="266"/>
        <v>0</v>
      </c>
      <c r="AK1682" s="93">
        <f t="shared" si="267"/>
        <v>0</v>
      </c>
      <c r="AL1682" s="93">
        <f t="shared" si="268"/>
        <v>0</v>
      </c>
      <c r="AN1682" s="93">
        <v>21</v>
      </c>
      <c r="AO1682" s="93">
        <f>H1682*0.245814883</f>
        <v>0</v>
      </c>
      <c r="AP1682" s="93">
        <f>H1682*(1-0.245814883)</f>
        <v>0</v>
      </c>
      <c r="AQ1682" s="94" t="s">
        <v>148</v>
      </c>
      <c r="AV1682" s="93">
        <f t="shared" si="269"/>
        <v>0</v>
      </c>
      <c r="AW1682" s="93">
        <f t="shared" si="270"/>
        <v>0</v>
      </c>
      <c r="AX1682" s="93">
        <f t="shared" si="271"/>
        <v>0</v>
      </c>
      <c r="AY1682" s="94" t="s">
        <v>1986</v>
      </c>
      <c r="AZ1682" s="94" t="s">
        <v>1915</v>
      </c>
      <c r="BA1682" s="88" t="s">
        <v>67</v>
      </c>
      <c r="BC1682" s="93">
        <f t="shared" si="272"/>
        <v>0</v>
      </c>
      <c r="BD1682" s="93">
        <f t="shared" si="273"/>
        <v>0</v>
      </c>
      <c r="BE1682" s="93">
        <v>0</v>
      </c>
      <c r="BF1682" s="93">
        <f t="shared" si="274"/>
        <v>7.2000000000000007E-3</v>
      </c>
      <c r="BH1682" s="93">
        <f t="shared" si="275"/>
        <v>0</v>
      </c>
      <c r="BI1682" s="93">
        <f t="shared" si="276"/>
        <v>0</v>
      </c>
      <c r="BJ1682" s="93">
        <f t="shared" si="277"/>
        <v>0</v>
      </c>
      <c r="BK1682" s="93"/>
      <c r="BL1682" s="93">
        <v>733</v>
      </c>
      <c r="BW1682" s="93" t="str">
        <f t="shared" si="278"/>
        <v>21</v>
      </c>
      <c r="BX1682" s="2" t="s">
        <v>2006</v>
      </c>
    </row>
    <row r="1683" spans="1:76" s="81" customFormat="1" ht="13.5" customHeight="1" x14ac:dyDescent="0.25">
      <c r="A1683" s="110"/>
      <c r="B1683" s="95"/>
      <c r="C1683" s="95"/>
      <c r="D1683" s="179" t="s">
        <v>2007</v>
      </c>
      <c r="E1683" s="179"/>
      <c r="F1683" s="179"/>
      <c r="G1683" s="179"/>
      <c r="H1683" s="179"/>
      <c r="I1683" s="179"/>
      <c r="J1683" s="179"/>
      <c r="K1683" s="179"/>
      <c r="L1683" s="179"/>
      <c r="M1683" s="179"/>
      <c r="N1683" s="179"/>
      <c r="O1683" s="179"/>
      <c r="P1683" s="179"/>
    </row>
    <row r="1684" spans="1:76" s="81" customFormat="1" ht="25.5" x14ac:dyDescent="0.25">
      <c r="A1684" s="66" t="s">
        <v>2011</v>
      </c>
      <c r="B1684" s="72" t="s">
        <v>55</v>
      </c>
      <c r="C1684" s="72" t="s">
        <v>2009</v>
      </c>
      <c r="D1684" s="174" t="s">
        <v>2006</v>
      </c>
      <c r="E1684" s="174"/>
      <c r="F1684" s="72" t="s">
        <v>213</v>
      </c>
      <c r="G1684" s="90">
        <v>130</v>
      </c>
      <c r="H1684" s="91"/>
      <c r="I1684" s="92" t="s">
        <v>63</v>
      </c>
      <c r="J1684" s="90">
        <f>G1684*AO1684</f>
        <v>0</v>
      </c>
      <c r="K1684" s="90">
        <f>G1684*AP1684</f>
        <v>0</v>
      </c>
      <c r="L1684" s="90">
        <f>G1684*H1684</f>
        <v>0</v>
      </c>
      <c r="M1684" s="90">
        <f>L1684*(1+BW1684/100)</f>
        <v>0</v>
      </c>
      <c r="N1684" s="90">
        <v>3.0000000000000001E-5</v>
      </c>
      <c r="O1684" s="90">
        <f>G1684*N1684</f>
        <v>3.9000000000000003E-3</v>
      </c>
      <c r="P1684" s="92" t="s">
        <v>64</v>
      </c>
      <c r="Z1684" s="93">
        <f>IF(AQ1684="5",BJ1684,0)</f>
        <v>0</v>
      </c>
      <c r="AB1684" s="93">
        <f>IF(AQ1684="1",BH1684,0)</f>
        <v>0</v>
      </c>
      <c r="AC1684" s="93">
        <f>IF(AQ1684="1",BI1684,0)</f>
        <v>0</v>
      </c>
      <c r="AD1684" s="93">
        <f>IF(AQ1684="7",BH1684,0)</f>
        <v>0</v>
      </c>
      <c r="AE1684" s="93">
        <f>IF(AQ1684="7",BI1684,0)</f>
        <v>0</v>
      </c>
      <c r="AF1684" s="93">
        <f>IF(AQ1684="2",BH1684,0)</f>
        <v>0</v>
      </c>
      <c r="AG1684" s="93">
        <f>IF(AQ1684="2",BI1684,0)</f>
        <v>0</v>
      </c>
      <c r="AH1684" s="93">
        <f>IF(AQ1684="0",BJ1684,0)</f>
        <v>0</v>
      </c>
      <c r="AI1684" s="88" t="s">
        <v>55</v>
      </c>
      <c r="AJ1684" s="93">
        <f>IF(AN1684=0,L1684,0)</f>
        <v>0</v>
      </c>
      <c r="AK1684" s="93">
        <f>IF(AN1684=12,L1684,0)</f>
        <v>0</v>
      </c>
      <c r="AL1684" s="93">
        <f>IF(AN1684=21,L1684,0)</f>
        <v>0</v>
      </c>
      <c r="AN1684" s="93">
        <v>21</v>
      </c>
      <c r="AO1684" s="93">
        <f>H1684*0.273909876</f>
        <v>0</v>
      </c>
      <c r="AP1684" s="93">
        <f>H1684*(1-0.273909876)</f>
        <v>0</v>
      </c>
      <c r="AQ1684" s="94" t="s">
        <v>148</v>
      </c>
      <c r="AV1684" s="93">
        <f>AW1684+AX1684</f>
        <v>0</v>
      </c>
      <c r="AW1684" s="93">
        <f>G1684*AO1684</f>
        <v>0</v>
      </c>
      <c r="AX1684" s="93">
        <f>G1684*AP1684</f>
        <v>0</v>
      </c>
      <c r="AY1684" s="94" t="s">
        <v>1986</v>
      </c>
      <c r="AZ1684" s="94" t="s">
        <v>1915</v>
      </c>
      <c r="BA1684" s="88" t="s">
        <v>67</v>
      </c>
      <c r="BC1684" s="93">
        <f>AW1684+AX1684</f>
        <v>0</v>
      </c>
      <c r="BD1684" s="93">
        <f>H1684/(100-BE1684)*100</f>
        <v>0</v>
      </c>
      <c r="BE1684" s="93">
        <v>0</v>
      </c>
      <c r="BF1684" s="93">
        <f>O1684</f>
        <v>3.9000000000000003E-3</v>
      </c>
      <c r="BH1684" s="93">
        <f>G1684*AO1684</f>
        <v>0</v>
      </c>
      <c r="BI1684" s="93">
        <f>G1684*AP1684</f>
        <v>0</v>
      </c>
      <c r="BJ1684" s="93">
        <f>G1684*H1684</f>
        <v>0</v>
      </c>
      <c r="BK1684" s="93"/>
      <c r="BL1684" s="93">
        <v>733</v>
      </c>
      <c r="BW1684" s="93" t="str">
        <f>I1684</f>
        <v>21</v>
      </c>
      <c r="BX1684" s="2" t="s">
        <v>2006</v>
      </c>
    </row>
    <row r="1685" spans="1:76" s="81" customFormat="1" ht="13.5" customHeight="1" x14ac:dyDescent="0.25">
      <c r="A1685" s="110"/>
      <c r="B1685" s="95"/>
      <c r="C1685" s="95"/>
      <c r="D1685" s="179" t="s">
        <v>2010</v>
      </c>
      <c r="E1685" s="179"/>
      <c r="F1685" s="179"/>
      <c r="G1685" s="179"/>
      <c r="H1685" s="179"/>
      <c r="I1685" s="179"/>
      <c r="J1685" s="179"/>
      <c r="K1685" s="179"/>
      <c r="L1685" s="179"/>
      <c r="M1685" s="179"/>
      <c r="N1685" s="179"/>
      <c r="O1685" s="179"/>
      <c r="P1685" s="179"/>
    </row>
    <row r="1686" spans="1:76" s="81" customFormat="1" ht="25.5" x14ac:dyDescent="0.25">
      <c r="A1686" s="66" t="s">
        <v>2015</v>
      </c>
      <c r="B1686" s="72" t="s">
        <v>55</v>
      </c>
      <c r="C1686" s="72" t="s">
        <v>2012</v>
      </c>
      <c r="D1686" s="174" t="s">
        <v>2013</v>
      </c>
      <c r="E1686" s="174"/>
      <c r="F1686" s="72" t="s">
        <v>213</v>
      </c>
      <c r="G1686" s="90">
        <v>100</v>
      </c>
      <c r="H1686" s="91"/>
      <c r="I1686" s="92" t="s">
        <v>63</v>
      </c>
      <c r="J1686" s="90">
        <f>G1686*AO1686</f>
        <v>0</v>
      </c>
      <c r="K1686" s="90">
        <f>G1686*AP1686</f>
        <v>0</v>
      </c>
      <c r="L1686" s="90">
        <f>G1686*H1686</f>
        <v>0</v>
      </c>
      <c r="M1686" s="90">
        <f>L1686*(1+BW1686/100)</f>
        <v>0</v>
      </c>
      <c r="N1686" s="90">
        <v>5.0000000000000002E-5</v>
      </c>
      <c r="O1686" s="90">
        <f>G1686*N1686</f>
        <v>5.0000000000000001E-3</v>
      </c>
      <c r="P1686" s="92" t="s">
        <v>64</v>
      </c>
      <c r="Z1686" s="93">
        <f>IF(AQ1686="5",BJ1686,0)</f>
        <v>0</v>
      </c>
      <c r="AB1686" s="93">
        <f>IF(AQ1686="1",BH1686,0)</f>
        <v>0</v>
      </c>
      <c r="AC1686" s="93">
        <f>IF(AQ1686="1",BI1686,0)</f>
        <v>0</v>
      </c>
      <c r="AD1686" s="93">
        <f>IF(AQ1686="7",BH1686,0)</f>
        <v>0</v>
      </c>
      <c r="AE1686" s="93">
        <f>IF(AQ1686="7",BI1686,0)</f>
        <v>0</v>
      </c>
      <c r="AF1686" s="93">
        <f>IF(AQ1686="2",BH1686,0)</f>
        <v>0</v>
      </c>
      <c r="AG1686" s="93">
        <f>IF(AQ1686="2",BI1686,0)</f>
        <v>0</v>
      </c>
      <c r="AH1686" s="93">
        <f>IF(AQ1686="0",BJ1686,0)</f>
        <v>0</v>
      </c>
      <c r="AI1686" s="88" t="s">
        <v>55</v>
      </c>
      <c r="AJ1686" s="93">
        <f>IF(AN1686=0,L1686,0)</f>
        <v>0</v>
      </c>
      <c r="AK1686" s="93">
        <f>IF(AN1686=12,L1686,0)</f>
        <v>0</v>
      </c>
      <c r="AL1686" s="93">
        <f>IF(AN1686=21,L1686,0)</f>
        <v>0</v>
      </c>
      <c r="AN1686" s="93">
        <v>21</v>
      </c>
      <c r="AO1686" s="93">
        <f>H1686*0.399315254</f>
        <v>0</v>
      </c>
      <c r="AP1686" s="93">
        <f>H1686*(1-0.399315254)</f>
        <v>0</v>
      </c>
      <c r="AQ1686" s="94" t="s">
        <v>148</v>
      </c>
      <c r="AV1686" s="93">
        <f>AW1686+AX1686</f>
        <v>0</v>
      </c>
      <c r="AW1686" s="93">
        <f>G1686*AO1686</f>
        <v>0</v>
      </c>
      <c r="AX1686" s="93">
        <f>G1686*AP1686</f>
        <v>0</v>
      </c>
      <c r="AY1686" s="94" t="s">
        <v>1986</v>
      </c>
      <c r="AZ1686" s="94" t="s">
        <v>1915</v>
      </c>
      <c r="BA1686" s="88" t="s">
        <v>67</v>
      </c>
      <c r="BC1686" s="93">
        <f>AW1686+AX1686</f>
        <v>0</v>
      </c>
      <c r="BD1686" s="93">
        <f>H1686/(100-BE1686)*100</f>
        <v>0</v>
      </c>
      <c r="BE1686" s="93">
        <v>0</v>
      </c>
      <c r="BF1686" s="93">
        <f>O1686</f>
        <v>5.0000000000000001E-3</v>
      </c>
      <c r="BH1686" s="93">
        <f>G1686*AO1686</f>
        <v>0</v>
      </c>
      <c r="BI1686" s="93">
        <f>G1686*AP1686</f>
        <v>0</v>
      </c>
      <c r="BJ1686" s="93">
        <f>G1686*H1686</f>
        <v>0</v>
      </c>
      <c r="BK1686" s="93"/>
      <c r="BL1686" s="93">
        <v>733</v>
      </c>
      <c r="BW1686" s="93" t="str">
        <f>I1686</f>
        <v>21</v>
      </c>
      <c r="BX1686" s="2" t="s">
        <v>2013</v>
      </c>
    </row>
    <row r="1687" spans="1:76" s="81" customFormat="1" ht="13.5" customHeight="1" x14ac:dyDescent="0.25">
      <c r="A1687" s="110"/>
      <c r="B1687" s="95"/>
      <c r="C1687" s="95"/>
      <c r="D1687" s="179" t="s">
        <v>2014</v>
      </c>
      <c r="E1687" s="179"/>
      <c r="F1687" s="179"/>
      <c r="G1687" s="179"/>
      <c r="H1687" s="179"/>
      <c r="I1687" s="179"/>
      <c r="J1687" s="179"/>
      <c r="K1687" s="179"/>
      <c r="L1687" s="179"/>
      <c r="M1687" s="179"/>
      <c r="N1687" s="179"/>
      <c r="O1687" s="179"/>
      <c r="P1687" s="179"/>
    </row>
    <row r="1688" spans="1:76" s="81" customFormat="1" ht="25.5" x14ac:dyDescent="0.25">
      <c r="A1688" s="66" t="s">
        <v>2018</v>
      </c>
      <c r="B1688" s="72" t="s">
        <v>55</v>
      </c>
      <c r="C1688" s="72" t="s">
        <v>2016</v>
      </c>
      <c r="D1688" s="174" t="s">
        <v>2013</v>
      </c>
      <c r="E1688" s="174"/>
      <c r="F1688" s="72" t="s">
        <v>213</v>
      </c>
      <c r="G1688" s="90">
        <v>140</v>
      </c>
      <c r="H1688" s="91"/>
      <c r="I1688" s="92" t="s">
        <v>63</v>
      </c>
      <c r="J1688" s="90">
        <f>G1688*AO1688</f>
        <v>0</v>
      </c>
      <c r="K1688" s="90">
        <f>G1688*AP1688</f>
        <v>0</v>
      </c>
      <c r="L1688" s="90">
        <f>G1688*H1688</f>
        <v>0</v>
      </c>
      <c r="M1688" s="90">
        <f>L1688*(1+BW1688/100)</f>
        <v>0</v>
      </c>
      <c r="N1688" s="90">
        <v>8.0000000000000007E-5</v>
      </c>
      <c r="O1688" s="90">
        <f>G1688*N1688</f>
        <v>1.1200000000000002E-2</v>
      </c>
      <c r="P1688" s="92" t="s">
        <v>64</v>
      </c>
      <c r="Z1688" s="93">
        <f>IF(AQ1688="5",BJ1688,0)</f>
        <v>0</v>
      </c>
      <c r="AB1688" s="93">
        <f>IF(AQ1688="1",BH1688,0)</f>
        <v>0</v>
      </c>
      <c r="AC1688" s="93">
        <f>IF(AQ1688="1",BI1688,0)</f>
        <v>0</v>
      </c>
      <c r="AD1688" s="93">
        <f>IF(AQ1688="7",BH1688,0)</f>
        <v>0</v>
      </c>
      <c r="AE1688" s="93">
        <f>IF(AQ1688="7",BI1688,0)</f>
        <v>0</v>
      </c>
      <c r="AF1688" s="93">
        <f>IF(AQ1688="2",BH1688,0)</f>
        <v>0</v>
      </c>
      <c r="AG1688" s="93">
        <f>IF(AQ1688="2",BI1688,0)</f>
        <v>0</v>
      </c>
      <c r="AH1688" s="93">
        <f>IF(AQ1688="0",BJ1688,0)</f>
        <v>0</v>
      </c>
      <c r="AI1688" s="88" t="s">
        <v>55</v>
      </c>
      <c r="AJ1688" s="93">
        <f>IF(AN1688=0,L1688,0)</f>
        <v>0</v>
      </c>
      <c r="AK1688" s="93">
        <f>IF(AN1688=12,L1688,0)</f>
        <v>0</v>
      </c>
      <c r="AL1688" s="93">
        <f>IF(AN1688=21,L1688,0)</f>
        <v>0</v>
      </c>
      <c r="AN1688" s="93">
        <v>21</v>
      </c>
      <c r="AO1688" s="93">
        <f>H1688*0.427676195</f>
        <v>0</v>
      </c>
      <c r="AP1688" s="93">
        <f>H1688*(1-0.427676195)</f>
        <v>0</v>
      </c>
      <c r="AQ1688" s="94" t="s">
        <v>148</v>
      </c>
      <c r="AV1688" s="93">
        <f>AW1688+AX1688</f>
        <v>0</v>
      </c>
      <c r="AW1688" s="93">
        <f>G1688*AO1688</f>
        <v>0</v>
      </c>
      <c r="AX1688" s="93">
        <f>G1688*AP1688</f>
        <v>0</v>
      </c>
      <c r="AY1688" s="94" t="s">
        <v>1986</v>
      </c>
      <c r="AZ1688" s="94" t="s">
        <v>1915</v>
      </c>
      <c r="BA1688" s="88" t="s">
        <v>67</v>
      </c>
      <c r="BC1688" s="93">
        <f>AW1688+AX1688</f>
        <v>0</v>
      </c>
      <c r="BD1688" s="93">
        <f>H1688/(100-BE1688)*100</f>
        <v>0</v>
      </c>
      <c r="BE1688" s="93">
        <v>0</v>
      </c>
      <c r="BF1688" s="93">
        <f>O1688</f>
        <v>1.1200000000000002E-2</v>
      </c>
      <c r="BH1688" s="93">
        <f>G1688*AO1688</f>
        <v>0</v>
      </c>
      <c r="BI1688" s="93">
        <f>G1688*AP1688</f>
        <v>0</v>
      </c>
      <c r="BJ1688" s="93">
        <f>G1688*H1688</f>
        <v>0</v>
      </c>
      <c r="BK1688" s="93"/>
      <c r="BL1688" s="93">
        <v>733</v>
      </c>
      <c r="BW1688" s="93" t="str">
        <f>I1688</f>
        <v>21</v>
      </c>
      <c r="BX1688" s="2" t="s">
        <v>2013</v>
      </c>
    </row>
    <row r="1689" spans="1:76" s="81" customFormat="1" ht="13.5" customHeight="1" x14ac:dyDescent="0.25">
      <c r="A1689" s="110"/>
      <c r="B1689" s="95"/>
      <c r="C1689" s="95"/>
      <c r="D1689" s="179" t="s">
        <v>2017</v>
      </c>
      <c r="E1689" s="179"/>
      <c r="F1689" s="179"/>
      <c r="G1689" s="179"/>
      <c r="H1689" s="179"/>
      <c r="I1689" s="179"/>
      <c r="J1689" s="179"/>
      <c r="K1689" s="179"/>
      <c r="L1689" s="179"/>
      <c r="M1689" s="179"/>
      <c r="N1689" s="179"/>
      <c r="O1689" s="179"/>
      <c r="P1689" s="179"/>
    </row>
    <row r="1690" spans="1:76" s="81" customFormat="1" ht="25.5" x14ac:dyDescent="0.25">
      <c r="A1690" s="66" t="s">
        <v>2022</v>
      </c>
      <c r="B1690" s="72" t="s">
        <v>55</v>
      </c>
      <c r="C1690" s="72" t="s">
        <v>2019</v>
      </c>
      <c r="D1690" s="174" t="s">
        <v>2020</v>
      </c>
      <c r="E1690" s="174"/>
      <c r="F1690" s="72" t="s">
        <v>213</v>
      </c>
      <c r="G1690" s="90">
        <v>50</v>
      </c>
      <c r="H1690" s="91"/>
      <c r="I1690" s="92" t="s">
        <v>63</v>
      </c>
      <c r="J1690" s="90">
        <f>G1690*AO1690</f>
        <v>0</v>
      </c>
      <c r="K1690" s="90">
        <f>G1690*AP1690</f>
        <v>0</v>
      </c>
      <c r="L1690" s="90">
        <f>G1690*H1690</f>
        <v>0</v>
      </c>
      <c r="M1690" s="90">
        <f>L1690*(1+BW1690/100)</f>
        <v>0</v>
      </c>
      <c r="N1690" s="90">
        <v>8.0000000000000007E-5</v>
      </c>
      <c r="O1690" s="90">
        <f>G1690*N1690</f>
        <v>4.0000000000000001E-3</v>
      </c>
      <c r="P1690" s="92" t="s">
        <v>64</v>
      </c>
      <c r="Z1690" s="93">
        <f>IF(AQ1690="5",BJ1690,0)</f>
        <v>0</v>
      </c>
      <c r="AB1690" s="93">
        <f>IF(AQ1690="1",BH1690,0)</f>
        <v>0</v>
      </c>
      <c r="AC1690" s="93">
        <f>IF(AQ1690="1",BI1690,0)</f>
        <v>0</v>
      </c>
      <c r="AD1690" s="93">
        <f>IF(AQ1690="7",BH1690,0)</f>
        <v>0</v>
      </c>
      <c r="AE1690" s="93">
        <f>IF(AQ1690="7",BI1690,0)</f>
        <v>0</v>
      </c>
      <c r="AF1690" s="93">
        <f>IF(AQ1690="2",BH1690,0)</f>
        <v>0</v>
      </c>
      <c r="AG1690" s="93">
        <f>IF(AQ1690="2",BI1690,0)</f>
        <v>0</v>
      </c>
      <c r="AH1690" s="93">
        <f>IF(AQ1690="0",BJ1690,0)</f>
        <v>0</v>
      </c>
      <c r="AI1690" s="88" t="s">
        <v>55</v>
      </c>
      <c r="AJ1690" s="93">
        <f>IF(AN1690=0,L1690,0)</f>
        <v>0</v>
      </c>
      <c r="AK1690" s="93">
        <f>IF(AN1690=12,L1690,0)</f>
        <v>0</v>
      </c>
      <c r="AL1690" s="93">
        <f>IF(AN1690=21,L1690,0)</f>
        <v>0</v>
      </c>
      <c r="AN1690" s="93">
        <v>21</v>
      </c>
      <c r="AO1690" s="93">
        <f>H1690*0.536971609</f>
        <v>0</v>
      </c>
      <c r="AP1690" s="93">
        <f>H1690*(1-0.536971609)</f>
        <v>0</v>
      </c>
      <c r="AQ1690" s="94" t="s">
        <v>148</v>
      </c>
      <c r="AV1690" s="93">
        <f>AW1690+AX1690</f>
        <v>0</v>
      </c>
      <c r="AW1690" s="93">
        <f>G1690*AO1690</f>
        <v>0</v>
      </c>
      <c r="AX1690" s="93">
        <f>G1690*AP1690</f>
        <v>0</v>
      </c>
      <c r="AY1690" s="94" t="s">
        <v>1986</v>
      </c>
      <c r="AZ1690" s="94" t="s">
        <v>1915</v>
      </c>
      <c r="BA1690" s="88" t="s">
        <v>67</v>
      </c>
      <c r="BC1690" s="93">
        <f>AW1690+AX1690</f>
        <v>0</v>
      </c>
      <c r="BD1690" s="93">
        <f>H1690/(100-BE1690)*100</f>
        <v>0</v>
      </c>
      <c r="BE1690" s="93">
        <v>0</v>
      </c>
      <c r="BF1690" s="93">
        <f>O1690</f>
        <v>4.0000000000000001E-3</v>
      </c>
      <c r="BH1690" s="93">
        <f>G1690*AO1690</f>
        <v>0</v>
      </c>
      <c r="BI1690" s="93">
        <f>G1690*AP1690</f>
        <v>0</v>
      </c>
      <c r="BJ1690" s="93">
        <f>G1690*H1690</f>
        <v>0</v>
      </c>
      <c r="BK1690" s="93"/>
      <c r="BL1690" s="93">
        <v>733</v>
      </c>
      <c r="BW1690" s="93" t="str">
        <f>I1690</f>
        <v>21</v>
      </c>
      <c r="BX1690" s="2" t="s">
        <v>2020</v>
      </c>
    </row>
    <row r="1691" spans="1:76" s="81" customFormat="1" ht="13.5" customHeight="1" x14ac:dyDescent="0.25">
      <c r="A1691" s="110"/>
      <c r="B1691" s="95"/>
      <c r="C1691" s="95"/>
      <c r="D1691" s="179" t="s">
        <v>2021</v>
      </c>
      <c r="E1691" s="179"/>
      <c r="F1691" s="179"/>
      <c r="G1691" s="179"/>
      <c r="H1691" s="179"/>
      <c r="I1691" s="179"/>
      <c r="J1691" s="179"/>
      <c r="K1691" s="179"/>
      <c r="L1691" s="179"/>
      <c r="M1691" s="179"/>
      <c r="N1691" s="179"/>
      <c r="O1691" s="179"/>
      <c r="P1691" s="179"/>
    </row>
    <row r="1692" spans="1:76" s="81" customFormat="1" ht="25.5" x14ac:dyDescent="0.25">
      <c r="A1692" s="66" t="s">
        <v>2027</v>
      </c>
      <c r="B1692" s="72" t="s">
        <v>55</v>
      </c>
      <c r="C1692" s="72" t="s">
        <v>2023</v>
      </c>
      <c r="D1692" s="174" t="s">
        <v>2024</v>
      </c>
      <c r="E1692" s="174"/>
      <c r="F1692" s="72" t="s">
        <v>213</v>
      </c>
      <c r="G1692" s="90">
        <v>210</v>
      </c>
      <c r="H1692" s="91"/>
      <c r="I1692" s="92" t="s">
        <v>63</v>
      </c>
      <c r="J1692" s="90">
        <f>G1692*AO1692</f>
        <v>0</v>
      </c>
      <c r="K1692" s="90">
        <f>G1692*AP1692</f>
        <v>0</v>
      </c>
      <c r="L1692" s="90">
        <f>G1692*H1692</f>
        <v>0</v>
      </c>
      <c r="M1692" s="90">
        <f>L1692*(1+BW1692/100)</f>
        <v>0</v>
      </c>
      <c r="N1692" s="90">
        <v>0</v>
      </c>
      <c r="O1692" s="90">
        <f>G1692*N1692</f>
        <v>0</v>
      </c>
      <c r="P1692" s="92" t="s">
        <v>64</v>
      </c>
      <c r="Z1692" s="93">
        <f>IF(AQ1692="5",BJ1692,0)</f>
        <v>0</v>
      </c>
      <c r="AB1692" s="93">
        <f>IF(AQ1692="1",BH1692,0)</f>
        <v>0</v>
      </c>
      <c r="AC1692" s="93">
        <f>IF(AQ1692="1",BI1692,0)</f>
        <v>0</v>
      </c>
      <c r="AD1692" s="93">
        <f>IF(AQ1692="7",BH1692,0)</f>
        <v>0</v>
      </c>
      <c r="AE1692" s="93">
        <f>IF(AQ1692="7",BI1692,0)</f>
        <v>0</v>
      </c>
      <c r="AF1692" s="93">
        <f>IF(AQ1692="2",BH1692,0)</f>
        <v>0</v>
      </c>
      <c r="AG1692" s="93">
        <f>IF(AQ1692="2",BI1692,0)</f>
        <v>0</v>
      </c>
      <c r="AH1692" s="93">
        <f>IF(AQ1692="0",BJ1692,0)</f>
        <v>0</v>
      </c>
      <c r="AI1692" s="88" t="s">
        <v>55</v>
      </c>
      <c r="AJ1692" s="93">
        <f>IF(AN1692=0,L1692,0)</f>
        <v>0</v>
      </c>
      <c r="AK1692" s="93">
        <f>IF(AN1692=12,L1692,0)</f>
        <v>0</v>
      </c>
      <c r="AL1692" s="93">
        <f>IF(AN1692=21,L1692,0)</f>
        <v>0</v>
      </c>
      <c r="AN1692" s="93">
        <v>21</v>
      </c>
      <c r="AO1692" s="93">
        <f>H1692*0</f>
        <v>0</v>
      </c>
      <c r="AP1692" s="93">
        <f>H1692*(1-0)</f>
        <v>0</v>
      </c>
      <c r="AQ1692" s="94" t="s">
        <v>148</v>
      </c>
      <c r="AV1692" s="93">
        <f>AW1692+AX1692</f>
        <v>0</v>
      </c>
      <c r="AW1692" s="93">
        <f>G1692*AO1692</f>
        <v>0</v>
      </c>
      <c r="AX1692" s="93">
        <f>G1692*AP1692</f>
        <v>0</v>
      </c>
      <c r="AY1692" s="94" t="s">
        <v>1986</v>
      </c>
      <c r="AZ1692" s="94" t="s">
        <v>1915</v>
      </c>
      <c r="BA1692" s="88" t="s">
        <v>67</v>
      </c>
      <c r="BC1692" s="93">
        <f>AW1692+AX1692</f>
        <v>0</v>
      </c>
      <c r="BD1692" s="93">
        <f>H1692/(100-BE1692)*100</f>
        <v>0</v>
      </c>
      <c r="BE1692" s="93">
        <v>0</v>
      </c>
      <c r="BF1692" s="93">
        <f>O1692</f>
        <v>0</v>
      </c>
      <c r="BH1692" s="93">
        <f>G1692*AO1692</f>
        <v>0</v>
      </c>
      <c r="BI1692" s="93">
        <f>G1692*AP1692</f>
        <v>0</v>
      </c>
      <c r="BJ1692" s="93">
        <f>G1692*H1692</f>
        <v>0</v>
      </c>
      <c r="BK1692" s="93"/>
      <c r="BL1692" s="93">
        <v>733</v>
      </c>
      <c r="BW1692" s="93" t="str">
        <f>I1692</f>
        <v>21</v>
      </c>
      <c r="BX1692" s="2" t="s">
        <v>2024</v>
      </c>
    </row>
    <row r="1693" spans="1:76" s="81" customFormat="1" x14ac:dyDescent="0.25">
      <c r="A1693" s="110"/>
      <c r="B1693" s="95"/>
      <c r="C1693" s="95"/>
      <c r="D1693" s="76" t="s">
        <v>2025</v>
      </c>
      <c r="E1693" s="76" t="s">
        <v>2026</v>
      </c>
      <c r="F1693" s="95"/>
      <c r="G1693" s="96">
        <v>210</v>
      </c>
      <c r="H1693" s="95"/>
      <c r="I1693" s="95"/>
      <c r="J1693" s="95"/>
      <c r="K1693" s="95"/>
      <c r="L1693" s="95"/>
      <c r="M1693" s="95"/>
      <c r="N1693" s="95"/>
      <c r="O1693" s="95"/>
      <c r="P1693" s="95"/>
    </row>
    <row r="1694" spans="1:76" s="81" customFormat="1" ht="25.5" x14ac:dyDescent="0.25">
      <c r="A1694" s="66" t="s">
        <v>2031</v>
      </c>
      <c r="B1694" s="72" t="s">
        <v>55</v>
      </c>
      <c r="C1694" s="72" t="s">
        <v>2028</v>
      </c>
      <c r="D1694" s="174" t="s">
        <v>2029</v>
      </c>
      <c r="E1694" s="174"/>
      <c r="F1694" s="72" t="s">
        <v>213</v>
      </c>
      <c r="G1694" s="90">
        <v>780</v>
      </c>
      <c r="H1694" s="91"/>
      <c r="I1694" s="92" t="s">
        <v>63</v>
      </c>
      <c r="J1694" s="90">
        <f>G1694*AO1694</f>
        <v>0</v>
      </c>
      <c r="K1694" s="90">
        <f>G1694*AP1694</f>
        <v>0</v>
      </c>
      <c r="L1694" s="90">
        <f>G1694*H1694</f>
        <v>0</v>
      </c>
      <c r="M1694" s="90">
        <f>L1694*(1+BW1694/100)</f>
        <v>0</v>
      </c>
      <c r="N1694" s="90">
        <v>0</v>
      </c>
      <c r="O1694" s="90">
        <f>G1694*N1694</f>
        <v>0</v>
      </c>
      <c r="P1694" s="92" t="s">
        <v>64</v>
      </c>
      <c r="Z1694" s="93">
        <f>IF(AQ1694="5",BJ1694,0)</f>
        <v>0</v>
      </c>
      <c r="AB1694" s="93">
        <f>IF(AQ1694="1",BH1694,0)</f>
        <v>0</v>
      </c>
      <c r="AC1694" s="93">
        <f>IF(AQ1694="1",BI1694,0)</f>
        <v>0</v>
      </c>
      <c r="AD1694" s="93">
        <f>IF(AQ1694="7",BH1694,0)</f>
        <v>0</v>
      </c>
      <c r="AE1694" s="93">
        <f>IF(AQ1694="7",BI1694,0)</f>
        <v>0</v>
      </c>
      <c r="AF1694" s="93">
        <f>IF(AQ1694="2",BH1694,0)</f>
        <v>0</v>
      </c>
      <c r="AG1694" s="93">
        <f>IF(AQ1694="2",BI1694,0)</f>
        <v>0</v>
      </c>
      <c r="AH1694" s="93">
        <f>IF(AQ1694="0",BJ1694,0)</f>
        <v>0</v>
      </c>
      <c r="AI1694" s="88" t="s">
        <v>55</v>
      </c>
      <c r="AJ1694" s="93">
        <f>IF(AN1694=0,L1694,0)</f>
        <v>0</v>
      </c>
      <c r="AK1694" s="93">
        <f>IF(AN1694=12,L1694,0)</f>
        <v>0</v>
      </c>
      <c r="AL1694" s="93">
        <f>IF(AN1694=21,L1694,0)</f>
        <v>0</v>
      </c>
      <c r="AN1694" s="93">
        <v>21</v>
      </c>
      <c r="AO1694" s="93">
        <f>H1694*0.020984665</f>
        <v>0</v>
      </c>
      <c r="AP1694" s="93">
        <f>H1694*(1-0.020984665)</f>
        <v>0</v>
      </c>
      <c r="AQ1694" s="94" t="s">
        <v>148</v>
      </c>
      <c r="AV1694" s="93">
        <f>AW1694+AX1694</f>
        <v>0</v>
      </c>
      <c r="AW1694" s="93">
        <f>G1694*AO1694</f>
        <v>0</v>
      </c>
      <c r="AX1694" s="93">
        <f>G1694*AP1694</f>
        <v>0</v>
      </c>
      <c r="AY1694" s="94" t="s">
        <v>1986</v>
      </c>
      <c r="AZ1694" s="94" t="s">
        <v>1915</v>
      </c>
      <c r="BA1694" s="88" t="s">
        <v>67</v>
      </c>
      <c r="BC1694" s="93">
        <f>AW1694+AX1694</f>
        <v>0</v>
      </c>
      <c r="BD1694" s="93">
        <f>H1694/(100-BE1694)*100</f>
        <v>0</v>
      </c>
      <c r="BE1694" s="93">
        <v>0</v>
      </c>
      <c r="BF1694" s="93">
        <f>O1694</f>
        <v>0</v>
      </c>
      <c r="BH1694" s="93">
        <f>G1694*AO1694</f>
        <v>0</v>
      </c>
      <c r="BI1694" s="93">
        <f>G1694*AP1694</f>
        <v>0</v>
      </c>
      <c r="BJ1694" s="93">
        <f>G1694*H1694</f>
        <v>0</v>
      </c>
      <c r="BK1694" s="93"/>
      <c r="BL1694" s="93">
        <v>733</v>
      </c>
      <c r="BW1694" s="93" t="str">
        <f>I1694</f>
        <v>21</v>
      </c>
      <c r="BX1694" s="2" t="s">
        <v>2029</v>
      </c>
    </row>
    <row r="1695" spans="1:76" s="81" customFormat="1" x14ac:dyDescent="0.25">
      <c r="A1695" s="110"/>
      <c r="B1695" s="95"/>
      <c r="C1695" s="95"/>
      <c r="D1695" s="76" t="s">
        <v>2030</v>
      </c>
      <c r="E1695" s="76" t="s">
        <v>54</v>
      </c>
      <c r="F1695" s="95"/>
      <c r="G1695" s="96">
        <v>780</v>
      </c>
      <c r="H1695" s="95"/>
      <c r="I1695" s="95"/>
      <c r="J1695" s="95"/>
      <c r="K1695" s="95"/>
      <c r="L1695" s="95"/>
      <c r="M1695" s="95"/>
      <c r="N1695" s="95"/>
      <c r="O1695" s="95"/>
      <c r="P1695" s="95"/>
    </row>
    <row r="1696" spans="1:76" s="81" customFormat="1" ht="25.5" x14ac:dyDescent="0.25">
      <c r="A1696" s="66" t="s">
        <v>2035</v>
      </c>
      <c r="B1696" s="72" t="s">
        <v>55</v>
      </c>
      <c r="C1696" s="72" t="s">
        <v>2032</v>
      </c>
      <c r="D1696" s="174" t="s">
        <v>2033</v>
      </c>
      <c r="E1696" s="174"/>
      <c r="F1696" s="72" t="s">
        <v>213</v>
      </c>
      <c r="G1696" s="90">
        <v>210</v>
      </c>
      <c r="H1696" s="91"/>
      <c r="I1696" s="92" t="s">
        <v>63</v>
      </c>
      <c r="J1696" s="90">
        <f>G1696*AO1696</f>
        <v>0</v>
      </c>
      <c r="K1696" s="90">
        <f>G1696*AP1696</f>
        <v>0</v>
      </c>
      <c r="L1696" s="90">
        <f>G1696*H1696</f>
        <v>0</v>
      </c>
      <c r="M1696" s="90">
        <f>L1696*(1+BW1696/100)</f>
        <v>0</v>
      </c>
      <c r="N1696" s="90">
        <v>0</v>
      </c>
      <c r="O1696" s="90">
        <f>G1696*N1696</f>
        <v>0</v>
      </c>
      <c r="P1696" s="92" t="s">
        <v>64</v>
      </c>
      <c r="Z1696" s="93">
        <f>IF(AQ1696="5",BJ1696,0)</f>
        <v>0</v>
      </c>
      <c r="AB1696" s="93">
        <f>IF(AQ1696="1",BH1696,0)</f>
        <v>0</v>
      </c>
      <c r="AC1696" s="93">
        <f>IF(AQ1696="1",BI1696,0)</f>
        <v>0</v>
      </c>
      <c r="AD1696" s="93">
        <f>IF(AQ1696="7",BH1696,0)</f>
        <v>0</v>
      </c>
      <c r="AE1696" s="93">
        <f>IF(AQ1696="7",BI1696,0)</f>
        <v>0</v>
      </c>
      <c r="AF1696" s="93">
        <f>IF(AQ1696="2",BH1696,0)</f>
        <v>0</v>
      </c>
      <c r="AG1696" s="93">
        <f>IF(AQ1696="2",BI1696,0)</f>
        <v>0</v>
      </c>
      <c r="AH1696" s="93">
        <f>IF(AQ1696="0",BJ1696,0)</f>
        <v>0</v>
      </c>
      <c r="AI1696" s="88" t="s">
        <v>55</v>
      </c>
      <c r="AJ1696" s="93">
        <f>IF(AN1696=0,L1696,0)</f>
        <v>0</v>
      </c>
      <c r="AK1696" s="93">
        <f>IF(AN1696=12,L1696,0)</f>
        <v>0</v>
      </c>
      <c r="AL1696" s="93">
        <f>IF(AN1696=21,L1696,0)</f>
        <v>0</v>
      </c>
      <c r="AN1696" s="93">
        <v>21</v>
      </c>
      <c r="AO1696" s="93">
        <f>H1696*0.024894515</f>
        <v>0</v>
      </c>
      <c r="AP1696" s="93">
        <f>H1696*(1-0.024894515)</f>
        <v>0</v>
      </c>
      <c r="AQ1696" s="94" t="s">
        <v>148</v>
      </c>
      <c r="AV1696" s="93">
        <f>AW1696+AX1696</f>
        <v>0</v>
      </c>
      <c r="AW1696" s="93">
        <f>G1696*AO1696</f>
        <v>0</v>
      </c>
      <c r="AX1696" s="93">
        <f>G1696*AP1696</f>
        <v>0</v>
      </c>
      <c r="AY1696" s="94" t="s">
        <v>1986</v>
      </c>
      <c r="AZ1696" s="94" t="s">
        <v>1915</v>
      </c>
      <c r="BA1696" s="88" t="s">
        <v>67</v>
      </c>
      <c r="BC1696" s="93">
        <f>AW1696+AX1696</f>
        <v>0</v>
      </c>
      <c r="BD1696" s="93">
        <f>H1696/(100-BE1696)*100</f>
        <v>0</v>
      </c>
      <c r="BE1696" s="93">
        <v>0</v>
      </c>
      <c r="BF1696" s="93">
        <f>O1696</f>
        <v>0</v>
      </c>
      <c r="BH1696" s="93">
        <f>G1696*AO1696</f>
        <v>0</v>
      </c>
      <c r="BI1696" s="93">
        <f>G1696*AP1696</f>
        <v>0</v>
      </c>
      <c r="BJ1696" s="93">
        <f>G1696*H1696</f>
        <v>0</v>
      </c>
      <c r="BK1696" s="93"/>
      <c r="BL1696" s="93">
        <v>733</v>
      </c>
      <c r="BW1696" s="93" t="str">
        <f>I1696</f>
        <v>21</v>
      </c>
      <c r="BX1696" s="2" t="s">
        <v>2033</v>
      </c>
    </row>
    <row r="1697" spans="1:76" s="81" customFormat="1" x14ac:dyDescent="0.25">
      <c r="A1697" s="110"/>
      <c r="B1697" s="95"/>
      <c r="C1697" s="95"/>
      <c r="D1697" s="76" t="s">
        <v>2034</v>
      </c>
      <c r="E1697" s="76" t="s">
        <v>54</v>
      </c>
      <c r="F1697" s="95"/>
      <c r="G1697" s="96">
        <v>210</v>
      </c>
      <c r="H1697" s="95"/>
      <c r="I1697" s="95"/>
      <c r="J1697" s="95"/>
      <c r="K1697" s="95"/>
      <c r="L1697" s="95"/>
      <c r="M1697" s="95"/>
      <c r="N1697" s="95"/>
      <c r="O1697" s="95"/>
      <c r="P1697" s="95"/>
    </row>
    <row r="1698" spans="1:76" s="81" customFormat="1" ht="25.5" x14ac:dyDescent="0.25">
      <c r="A1698" s="66" t="s">
        <v>2038</v>
      </c>
      <c r="B1698" s="72" t="s">
        <v>55</v>
      </c>
      <c r="C1698" s="72" t="s">
        <v>2036</v>
      </c>
      <c r="D1698" s="174" t="s">
        <v>2037</v>
      </c>
      <c r="E1698" s="174"/>
      <c r="F1698" s="72" t="s">
        <v>213</v>
      </c>
      <c r="G1698" s="90">
        <v>10</v>
      </c>
      <c r="H1698" s="91"/>
      <c r="I1698" s="92" t="s">
        <v>63</v>
      </c>
      <c r="J1698" s="90">
        <f>G1698*AO1698</f>
        <v>0</v>
      </c>
      <c r="K1698" s="90">
        <f>G1698*AP1698</f>
        <v>0</v>
      </c>
      <c r="L1698" s="90">
        <f>G1698*H1698</f>
        <v>0</v>
      </c>
      <c r="M1698" s="90">
        <f>L1698*(1+BW1698/100)</f>
        <v>0</v>
      </c>
      <c r="N1698" s="90">
        <v>2.5999999999999998E-4</v>
      </c>
      <c r="O1698" s="90">
        <f>G1698*N1698</f>
        <v>2.5999999999999999E-3</v>
      </c>
      <c r="P1698" s="92" t="s">
        <v>64</v>
      </c>
      <c r="Z1698" s="93">
        <f>IF(AQ1698="5",BJ1698,0)</f>
        <v>0</v>
      </c>
      <c r="AB1698" s="93">
        <f>IF(AQ1698="1",BH1698,0)</f>
        <v>0</v>
      </c>
      <c r="AC1698" s="93">
        <f>IF(AQ1698="1",BI1698,0)</f>
        <v>0</v>
      </c>
      <c r="AD1698" s="93">
        <f>IF(AQ1698="7",BH1698,0)</f>
        <v>0</v>
      </c>
      <c r="AE1698" s="93">
        <f>IF(AQ1698="7",BI1698,0)</f>
        <v>0</v>
      </c>
      <c r="AF1698" s="93">
        <f>IF(AQ1698="2",BH1698,0)</f>
        <v>0</v>
      </c>
      <c r="AG1698" s="93">
        <f>IF(AQ1698="2",BI1698,0)</f>
        <v>0</v>
      </c>
      <c r="AH1698" s="93">
        <f>IF(AQ1698="0",BJ1698,0)</f>
        <v>0</v>
      </c>
      <c r="AI1698" s="88" t="s">
        <v>55</v>
      </c>
      <c r="AJ1698" s="93">
        <f>IF(AN1698=0,L1698,0)</f>
        <v>0</v>
      </c>
      <c r="AK1698" s="93">
        <f>IF(AN1698=12,L1698,0)</f>
        <v>0</v>
      </c>
      <c r="AL1698" s="93">
        <f>IF(AN1698=21,L1698,0)</f>
        <v>0</v>
      </c>
      <c r="AN1698" s="93">
        <v>21</v>
      </c>
      <c r="AO1698" s="93">
        <f>H1698*1</f>
        <v>0</v>
      </c>
      <c r="AP1698" s="93">
        <f>H1698*(1-1)</f>
        <v>0</v>
      </c>
      <c r="AQ1698" s="94" t="s">
        <v>148</v>
      </c>
      <c r="AV1698" s="93">
        <f>AW1698+AX1698</f>
        <v>0</v>
      </c>
      <c r="AW1698" s="93">
        <f>G1698*AO1698</f>
        <v>0</v>
      </c>
      <c r="AX1698" s="93">
        <f>G1698*AP1698</f>
        <v>0</v>
      </c>
      <c r="AY1698" s="94" t="s">
        <v>1986</v>
      </c>
      <c r="AZ1698" s="94" t="s">
        <v>1915</v>
      </c>
      <c r="BA1698" s="88" t="s">
        <v>67</v>
      </c>
      <c r="BC1698" s="93">
        <f>AW1698+AX1698</f>
        <v>0</v>
      </c>
      <c r="BD1698" s="93">
        <f>H1698/(100-BE1698)*100</f>
        <v>0</v>
      </c>
      <c r="BE1698" s="93">
        <v>0</v>
      </c>
      <c r="BF1698" s="93">
        <f>O1698</f>
        <v>2.5999999999999999E-3</v>
      </c>
      <c r="BH1698" s="93">
        <f>G1698*AO1698</f>
        <v>0</v>
      </c>
      <c r="BI1698" s="93">
        <f>G1698*AP1698</f>
        <v>0</v>
      </c>
      <c r="BJ1698" s="93">
        <f>G1698*H1698</f>
        <v>0</v>
      </c>
      <c r="BK1698" s="93"/>
      <c r="BL1698" s="93">
        <v>733</v>
      </c>
      <c r="BW1698" s="93" t="str">
        <f>I1698</f>
        <v>21</v>
      </c>
      <c r="BX1698" s="2" t="s">
        <v>2037</v>
      </c>
    </row>
    <row r="1699" spans="1:76" s="81" customFormat="1" ht="25.5" x14ac:dyDescent="0.25">
      <c r="A1699" s="66" t="s">
        <v>2041</v>
      </c>
      <c r="B1699" s="72" t="s">
        <v>55</v>
      </c>
      <c r="C1699" s="72" t="s">
        <v>2039</v>
      </c>
      <c r="D1699" s="174" t="s">
        <v>2040</v>
      </c>
      <c r="E1699" s="174"/>
      <c r="F1699" s="72" t="s">
        <v>1447</v>
      </c>
      <c r="G1699" s="91"/>
      <c r="H1699" s="91"/>
      <c r="I1699" s="92" t="s">
        <v>63</v>
      </c>
      <c r="J1699" s="90">
        <f>G1699*AO1699</f>
        <v>0</v>
      </c>
      <c r="K1699" s="90">
        <f>G1699*AP1699</f>
        <v>0</v>
      </c>
      <c r="L1699" s="90">
        <f>G1699*H1699</f>
        <v>0</v>
      </c>
      <c r="M1699" s="90">
        <f>L1699*(1+BW1699/100)</f>
        <v>0</v>
      </c>
      <c r="N1699" s="90">
        <v>0</v>
      </c>
      <c r="O1699" s="90">
        <f>G1699*N1699</f>
        <v>0</v>
      </c>
      <c r="P1699" s="92" t="s">
        <v>64</v>
      </c>
      <c r="Z1699" s="93">
        <f>IF(AQ1699="5",BJ1699,0)</f>
        <v>0</v>
      </c>
      <c r="AB1699" s="93">
        <f>IF(AQ1699="1",BH1699,0)</f>
        <v>0</v>
      </c>
      <c r="AC1699" s="93">
        <f>IF(AQ1699="1",BI1699,0)</f>
        <v>0</v>
      </c>
      <c r="AD1699" s="93">
        <f>IF(AQ1699="7",BH1699,0)</f>
        <v>0</v>
      </c>
      <c r="AE1699" s="93">
        <f>IF(AQ1699="7",BI1699,0)</f>
        <v>0</v>
      </c>
      <c r="AF1699" s="93">
        <f>IF(AQ1699="2",BH1699,0)</f>
        <v>0</v>
      </c>
      <c r="AG1699" s="93">
        <f>IF(AQ1699="2",BI1699,0)</f>
        <v>0</v>
      </c>
      <c r="AH1699" s="93">
        <f>IF(AQ1699="0",BJ1699,0)</f>
        <v>0</v>
      </c>
      <c r="AI1699" s="88" t="s">
        <v>55</v>
      </c>
      <c r="AJ1699" s="93">
        <f>IF(AN1699=0,L1699,0)</f>
        <v>0</v>
      </c>
      <c r="AK1699" s="93">
        <f>IF(AN1699=12,L1699,0)</f>
        <v>0</v>
      </c>
      <c r="AL1699" s="93">
        <f>IF(AN1699=21,L1699,0)</f>
        <v>0</v>
      </c>
      <c r="AN1699" s="93">
        <v>21</v>
      </c>
      <c r="AO1699" s="93">
        <f>H1699*0</f>
        <v>0</v>
      </c>
      <c r="AP1699" s="93">
        <f>H1699*(1-0)</f>
        <v>0</v>
      </c>
      <c r="AQ1699" s="94" t="s">
        <v>136</v>
      </c>
      <c r="AV1699" s="93">
        <f>AW1699+AX1699</f>
        <v>0</v>
      </c>
      <c r="AW1699" s="93">
        <f>G1699*AO1699</f>
        <v>0</v>
      </c>
      <c r="AX1699" s="93">
        <f>G1699*AP1699</f>
        <v>0</v>
      </c>
      <c r="AY1699" s="94" t="s">
        <v>1986</v>
      </c>
      <c r="AZ1699" s="94" t="s">
        <v>1915</v>
      </c>
      <c r="BA1699" s="88" t="s">
        <v>67</v>
      </c>
      <c r="BC1699" s="93">
        <f>AW1699+AX1699</f>
        <v>0</v>
      </c>
      <c r="BD1699" s="93">
        <f>H1699/(100-BE1699)*100</f>
        <v>0</v>
      </c>
      <c r="BE1699" s="93">
        <v>0</v>
      </c>
      <c r="BF1699" s="93">
        <f>O1699</f>
        <v>0</v>
      </c>
      <c r="BH1699" s="93">
        <f>G1699*AO1699</f>
        <v>0</v>
      </c>
      <c r="BI1699" s="93">
        <f>G1699*AP1699</f>
        <v>0</v>
      </c>
      <c r="BJ1699" s="93">
        <f>G1699*H1699</f>
        <v>0</v>
      </c>
      <c r="BK1699" s="93"/>
      <c r="BL1699" s="93">
        <v>733</v>
      </c>
      <c r="BW1699" s="93" t="str">
        <f>I1699</f>
        <v>21</v>
      </c>
      <c r="BX1699" s="2" t="s">
        <v>2040</v>
      </c>
    </row>
    <row r="1700" spans="1:76" s="81" customFormat="1" ht="25.5" x14ac:dyDescent="0.25">
      <c r="A1700" s="66" t="s">
        <v>2046</v>
      </c>
      <c r="B1700" s="72" t="s">
        <v>55</v>
      </c>
      <c r="C1700" s="72" t="s">
        <v>2042</v>
      </c>
      <c r="D1700" s="174" t="s">
        <v>2043</v>
      </c>
      <c r="E1700" s="174"/>
      <c r="F1700" s="72" t="s">
        <v>213</v>
      </c>
      <c r="G1700" s="90">
        <v>200</v>
      </c>
      <c r="H1700" s="91"/>
      <c r="I1700" s="92" t="s">
        <v>63</v>
      </c>
      <c r="J1700" s="90">
        <f>G1700*AO1700</f>
        <v>0</v>
      </c>
      <c r="K1700" s="90">
        <f>G1700*AP1700</f>
        <v>0</v>
      </c>
      <c r="L1700" s="90">
        <f>G1700*H1700</f>
        <v>0</v>
      </c>
      <c r="M1700" s="90">
        <f>L1700*(1+BW1700/100)</f>
        <v>0</v>
      </c>
      <c r="N1700" s="90">
        <v>2.3000000000000001E-4</v>
      </c>
      <c r="O1700" s="90">
        <f>G1700*N1700</f>
        <v>4.5999999999999999E-2</v>
      </c>
      <c r="P1700" s="92" t="s">
        <v>64</v>
      </c>
      <c r="Z1700" s="93">
        <f>IF(AQ1700="5",BJ1700,0)</f>
        <v>0</v>
      </c>
      <c r="AB1700" s="93">
        <f>IF(AQ1700="1",BH1700,0)</f>
        <v>0</v>
      </c>
      <c r="AC1700" s="93">
        <f>IF(AQ1700="1",BI1700,0)</f>
        <v>0</v>
      </c>
      <c r="AD1700" s="93">
        <f>IF(AQ1700="7",BH1700,0)</f>
        <v>0</v>
      </c>
      <c r="AE1700" s="93">
        <f>IF(AQ1700="7",BI1700,0)</f>
        <v>0</v>
      </c>
      <c r="AF1700" s="93">
        <f>IF(AQ1700="2",BH1700,0)</f>
        <v>0</v>
      </c>
      <c r="AG1700" s="93">
        <f>IF(AQ1700="2",BI1700,0)</f>
        <v>0</v>
      </c>
      <c r="AH1700" s="93">
        <f>IF(AQ1700="0",BJ1700,0)</f>
        <v>0</v>
      </c>
      <c r="AI1700" s="88" t="s">
        <v>55</v>
      </c>
      <c r="AJ1700" s="93">
        <f>IF(AN1700=0,L1700,0)</f>
        <v>0</v>
      </c>
      <c r="AK1700" s="93">
        <f>IF(AN1700=12,L1700,0)</f>
        <v>0</v>
      </c>
      <c r="AL1700" s="93">
        <f>IF(AN1700=21,L1700,0)</f>
        <v>0</v>
      </c>
      <c r="AN1700" s="93">
        <v>21</v>
      </c>
      <c r="AO1700" s="93">
        <f>H1700*1</f>
        <v>0</v>
      </c>
      <c r="AP1700" s="93">
        <f>H1700*(1-1)</f>
        <v>0</v>
      </c>
      <c r="AQ1700" s="94" t="s">
        <v>148</v>
      </c>
      <c r="AV1700" s="93">
        <f>AW1700+AX1700</f>
        <v>0</v>
      </c>
      <c r="AW1700" s="93">
        <f>G1700*AO1700</f>
        <v>0</v>
      </c>
      <c r="AX1700" s="93">
        <f>G1700*AP1700</f>
        <v>0</v>
      </c>
      <c r="AY1700" s="94" t="s">
        <v>1986</v>
      </c>
      <c r="AZ1700" s="94" t="s">
        <v>1915</v>
      </c>
      <c r="BA1700" s="88" t="s">
        <v>67</v>
      </c>
      <c r="BC1700" s="93">
        <f>AW1700+AX1700</f>
        <v>0</v>
      </c>
      <c r="BD1700" s="93">
        <f>H1700/(100-BE1700)*100</f>
        <v>0</v>
      </c>
      <c r="BE1700" s="93">
        <v>0</v>
      </c>
      <c r="BF1700" s="93">
        <f>O1700</f>
        <v>4.5999999999999999E-2</v>
      </c>
      <c r="BH1700" s="93">
        <f>G1700*AO1700</f>
        <v>0</v>
      </c>
      <c r="BI1700" s="93">
        <f>G1700*AP1700</f>
        <v>0</v>
      </c>
      <c r="BJ1700" s="93">
        <f>G1700*H1700</f>
        <v>0</v>
      </c>
      <c r="BK1700" s="93"/>
      <c r="BL1700" s="93">
        <v>733</v>
      </c>
      <c r="BW1700" s="93" t="str">
        <f>I1700</f>
        <v>21</v>
      </c>
      <c r="BX1700" s="2" t="s">
        <v>2043</v>
      </c>
    </row>
    <row r="1701" spans="1:76" s="81" customFormat="1" x14ac:dyDescent="0.25">
      <c r="A1701" s="109" t="s">
        <v>54</v>
      </c>
      <c r="B1701" s="74" t="s">
        <v>55</v>
      </c>
      <c r="C1701" s="74" t="s">
        <v>2044</v>
      </c>
      <c r="D1701" s="180" t="s">
        <v>2045</v>
      </c>
      <c r="E1701" s="180"/>
      <c r="F1701" s="85" t="s">
        <v>4</v>
      </c>
      <c r="G1701" s="85" t="s">
        <v>4</v>
      </c>
      <c r="H1701" s="85" t="s">
        <v>4</v>
      </c>
      <c r="I1701" s="85" t="s">
        <v>4</v>
      </c>
      <c r="J1701" s="86">
        <f>SUM(J1702:J1729)</f>
        <v>0</v>
      </c>
      <c r="K1701" s="86">
        <f>SUM(K1702:K1729)</f>
        <v>0</v>
      </c>
      <c r="L1701" s="86">
        <f>SUM(L1702:L1729)</f>
        <v>0</v>
      </c>
      <c r="M1701" s="86">
        <f>SUM(M1702:M1729)</f>
        <v>0</v>
      </c>
      <c r="N1701" s="87" t="s">
        <v>54</v>
      </c>
      <c r="O1701" s="86">
        <f>SUM(O1702:O1729)</f>
        <v>0.10227</v>
      </c>
      <c r="P1701" s="87" t="s">
        <v>54</v>
      </c>
      <c r="AI1701" s="88" t="s">
        <v>55</v>
      </c>
      <c r="AS1701" s="89">
        <f>SUM(AJ1702:AJ1729)</f>
        <v>0</v>
      </c>
      <c r="AT1701" s="89">
        <f>SUM(AK1702:AK1729)</f>
        <v>0</v>
      </c>
      <c r="AU1701" s="89">
        <f>SUM(AL1702:AL1729)</f>
        <v>0</v>
      </c>
    </row>
    <row r="1702" spans="1:76" s="81" customFormat="1" ht="25.5" x14ac:dyDescent="0.25">
      <c r="A1702" s="66" t="s">
        <v>2050</v>
      </c>
      <c r="B1702" s="72" t="s">
        <v>55</v>
      </c>
      <c r="C1702" s="72" t="s">
        <v>2047</v>
      </c>
      <c r="D1702" s="174" t="s">
        <v>2048</v>
      </c>
      <c r="E1702" s="174"/>
      <c r="F1702" s="72" t="s">
        <v>203</v>
      </c>
      <c r="G1702" s="90">
        <v>1</v>
      </c>
      <c r="H1702" s="91"/>
      <c r="I1702" s="92" t="s">
        <v>63</v>
      </c>
      <c r="J1702" s="90">
        <f t="shared" ref="J1702:J1729" si="279">G1702*AO1702</f>
        <v>0</v>
      </c>
      <c r="K1702" s="90">
        <f t="shared" ref="K1702:K1729" si="280">G1702*AP1702</f>
        <v>0</v>
      </c>
      <c r="L1702" s="90">
        <f t="shared" ref="L1702:L1729" si="281">G1702*H1702</f>
        <v>0</v>
      </c>
      <c r="M1702" s="90">
        <f t="shared" ref="M1702:M1729" si="282">L1702*(1+BW1702/100)</f>
        <v>0</v>
      </c>
      <c r="N1702" s="90">
        <v>5.0000000000000001E-4</v>
      </c>
      <c r="O1702" s="90">
        <f t="shared" ref="O1702:O1729" si="283">G1702*N1702</f>
        <v>5.0000000000000001E-4</v>
      </c>
      <c r="P1702" s="92" t="s">
        <v>64</v>
      </c>
      <c r="Z1702" s="93">
        <f t="shared" ref="Z1702:Z1729" si="284">IF(AQ1702="5",BJ1702,0)</f>
        <v>0</v>
      </c>
      <c r="AB1702" s="93">
        <f t="shared" ref="AB1702:AB1729" si="285">IF(AQ1702="1",BH1702,0)</f>
        <v>0</v>
      </c>
      <c r="AC1702" s="93">
        <f t="shared" ref="AC1702:AC1729" si="286">IF(AQ1702="1",BI1702,0)</f>
        <v>0</v>
      </c>
      <c r="AD1702" s="93">
        <f t="shared" ref="AD1702:AD1729" si="287">IF(AQ1702="7",BH1702,0)</f>
        <v>0</v>
      </c>
      <c r="AE1702" s="93">
        <f t="shared" ref="AE1702:AE1729" si="288">IF(AQ1702="7",BI1702,0)</f>
        <v>0</v>
      </c>
      <c r="AF1702" s="93">
        <f t="shared" ref="AF1702:AF1729" si="289">IF(AQ1702="2",BH1702,0)</f>
        <v>0</v>
      </c>
      <c r="AG1702" s="93">
        <f t="shared" ref="AG1702:AG1729" si="290">IF(AQ1702="2",BI1702,0)</f>
        <v>0</v>
      </c>
      <c r="AH1702" s="93">
        <f t="shared" ref="AH1702:AH1729" si="291">IF(AQ1702="0",BJ1702,0)</f>
        <v>0</v>
      </c>
      <c r="AI1702" s="88" t="s">
        <v>55</v>
      </c>
      <c r="AJ1702" s="93">
        <f t="shared" ref="AJ1702:AJ1729" si="292">IF(AN1702=0,L1702,0)</f>
        <v>0</v>
      </c>
      <c r="AK1702" s="93">
        <f t="shared" ref="AK1702:AK1729" si="293">IF(AN1702=12,L1702,0)</f>
        <v>0</v>
      </c>
      <c r="AL1702" s="93">
        <f t="shared" ref="AL1702:AL1729" si="294">IF(AN1702=21,L1702,0)</f>
        <v>0</v>
      </c>
      <c r="AN1702" s="93">
        <v>21</v>
      </c>
      <c r="AO1702" s="93">
        <f>H1702*0.96818101</f>
        <v>0</v>
      </c>
      <c r="AP1702" s="93">
        <f>H1702*(1-0.96818101)</f>
        <v>0</v>
      </c>
      <c r="AQ1702" s="94" t="s">
        <v>148</v>
      </c>
      <c r="AV1702" s="93">
        <f t="shared" ref="AV1702:AV1729" si="295">AW1702+AX1702</f>
        <v>0</v>
      </c>
      <c r="AW1702" s="93">
        <f t="shared" ref="AW1702:AW1729" si="296">G1702*AO1702</f>
        <v>0</v>
      </c>
      <c r="AX1702" s="93">
        <f t="shared" ref="AX1702:AX1729" si="297">G1702*AP1702</f>
        <v>0</v>
      </c>
      <c r="AY1702" s="94" t="s">
        <v>2049</v>
      </c>
      <c r="AZ1702" s="94" t="s">
        <v>1915</v>
      </c>
      <c r="BA1702" s="88" t="s">
        <v>67</v>
      </c>
      <c r="BC1702" s="93">
        <f t="shared" ref="BC1702:BC1729" si="298">AW1702+AX1702</f>
        <v>0</v>
      </c>
      <c r="BD1702" s="93">
        <f t="shared" ref="BD1702:BD1729" si="299">H1702/(100-BE1702)*100</f>
        <v>0</v>
      </c>
      <c r="BE1702" s="93">
        <v>0</v>
      </c>
      <c r="BF1702" s="93">
        <f t="shared" ref="BF1702:BF1729" si="300">O1702</f>
        <v>5.0000000000000001E-4</v>
      </c>
      <c r="BH1702" s="93">
        <f t="shared" ref="BH1702:BH1729" si="301">G1702*AO1702</f>
        <v>0</v>
      </c>
      <c r="BI1702" s="93">
        <f t="shared" ref="BI1702:BI1729" si="302">G1702*AP1702</f>
        <v>0</v>
      </c>
      <c r="BJ1702" s="93">
        <f t="shared" ref="BJ1702:BJ1729" si="303">G1702*H1702</f>
        <v>0</v>
      </c>
      <c r="BK1702" s="93"/>
      <c r="BL1702" s="93">
        <v>734</v>
      </c>
      <c r="BW1702" s="93" t="str">
        <f t="shared" ref="BW1702:BW1729" si="304">I1702</f>
        <v>21</v>
      </c>
      <c r="BX1702" s="2" t="s">
        <v>2048</v>
      </c>
    </row>
    <row r="1703" spans="1:76" s="81" customFormat="1" ht="25.5" x14ac:dyDescent="0.25">
      <c r="A1703" s="66" t="s">
        <v>2053</v>
      </c>
      <c r="B1703" s="72" t="s">
        <v>55</v>
      </c>
      <c r="C1703" s="72" t="s">
        <v>2051</v>
      </c>
      <c r="D1703" s="174" t="s">
        <v>2052</v>
      </c>
      <c r="E1703" s="174"/>
      <c r="F1703" s="72" t="s">
        <v>203</v>
      </c>
      <c r="G1703" s="90">
        <v>1</v>
      </c>
      <c r="H1703" s="91"/>
      <c r="I1703" s="92" t="s">
        <v>63</v>
      </c>
      <c r="J1703" s="90">
        <f t="shared" si="279"/>
        <v>0</v>
      </c>
      <c r="K1703" s="90">
        <f t="shared" si="280"/>
        <v>0</v>
      </c>
      <c r="L1703" s="90">
        <f t="shared" si="281"/>
        <v>0</v>
      </c>
      <c r="M1703" s="90">
        <f t="shared" si="282"/>
        <v>0</v>
      </c>
      <c r="N1703" s="90">
        <v>5.0000000000000001E-4</v>
      </c>
      <c r="O1703" s="90">
        <f t="shared" si="283"/>
        <v>5.0000000000000001E-4</v>
      </c>
      <c r="P1703" s="92" t="s">
        <v>64</v>
      </c>
      <c r="Z1703" s="93">
        <f t="shared" si="284"/>
        <v>0</v>
      </c>
      <c r="AB1703" s="93">
        <f t="shared" si="285"/>
        <v>0</v>
      </c>
      <c r="AC1703" s="93">
        <f t="shared" si="286"/>
        <v>0</v>
      </c>
      <c r="AD1703" s="93">
        <f t="shared" si="287"/>
        <v>0</v>
      </c>
      <c r="AE1703" s="93">
        <f t="shared" si="288"/>
        <v>0</v>
      </c>
      <c r="AF1703" s="93">
        <f t="shared" si="289"/>
        <v>0</v>
      </c>
      <c r="AG1703" s="93">
        <f t="shared" si="290"/>
        <v>0</v>
      </c>
      <c r="AH1703" s="93">
        <f t="shared" si="291"/>
        <v>0</v>
      </c>
      <c r="AI1703" s="88" t="s">
        <v>55</v>
      </c>
      <c r="AJ1703" s="93">
        <f t="shared" si="292"/>
        <v>0</v>
      </c>
      <c r="AK1703" s="93">
        <f t="shared" si="293"/>
        <v>0</v>
      </c>
      <c r="AL1703" s="93">
        <f t="shared" si="294"/>
        <v>0</v>
      </c>
      <c r="AN1703" s="93">
        <v>21</v>
      </c>
      <c r="AO1703" s="93">
        <f>H1703*0.973824034</f>
        <v>0</v>
      </c>
      <c r="AP1703" s="93">
        <f>H1703*(1-0.973824034)</f>
        <v>0</v>
      </c>
      <c r="AQ1703" s="94" t="s">
        <v>148</v>
      </c>
      <c r="AV1703" s="93">
        <f t="shared" si="295"/>
        <v>0</v>
      </c>
      <c r="AW1703" s="93">
        <f t="shared" si="296"/>
        <v>0</v>
      </c>
      <c r="AX1703" s="93">
        <f t="shared" si="297"/>
        <v>0</v>
      </c>
      <c r="AY1703" s="94" t="s">
        <v>2049</v>
      </c>
      <c r="AZ1703" s="94" t="s">
        <v>1915</v>
      </c>
      <c r="BA1703" s="88" t="s">
        <v>67</v>
      </c>
      <c r="BC1703" s="93">
        <f t="shared" si="298"/>
        <v>0</v>
      </c>
      <c r="BD1703" s="93">
        <f t="shared" si="299"/>
        <v>0</v>
      </c>
      <c r="BE1703" s="93">
        <v>0</v>
      </c>
      <c r="BF1703" s="93">
        <f t="shared" si="300"/>
        <v>5.0000000000000001E-4</v>
      </c>
      <c r="BH1703" s="93">
        <f t="shared" si="301"/>
        <v>0</v>
      </c>
      <c r="BI1703" s="93">
        <f t="shared" si="302"/>
        <v>0</v>
      </c>
      <c r="BJ1703" s="93">
        <f t="shared" si="303"/>
        <v>0</v>
      </c>
      <c r="BK1703" s="93"/>
      <c r="BL1703" s="93">
        <v>734</v>
      </c>
      <c r="BW1703" s="93" t="str">
        <f t="shared" si="304"/>
        <v>21</v>
      </c>
      <c r="BX1703" s="2" t="s">
        <v>2052</v>
      </c>
    </row>
    <row r="1704" spans="1:76" s="81" customFormat="1" ht="25.5" x14ac:dyDescent="0.25">
      <c r="A1704" s="66" t="s">
        <v>2056</v>
      </c>
      <c r="B1704" s="72" t="s">
        <v>55</v>
      </c>
      <c r="C1704" s="72" t="s">
        <v>2054</v>
      </c>
      <c r="D1704" s="174" t="s">
        <v>2055</v>
      </c>
      <c r="E1704" s="174"/>
      <c r="F1704" s="72" t="s">
        <v>203</v>
      </c>
      <c r="G1704" s="90">
        <v>1</v>
      </c>
      <c r="H1704" s="91"/>
      <c r="I1704" s="92" t="s">
        <v>63</v>
      </c>
      <c r="J1704" s="90">
        <f t="shared" si="279"/>
        <v>0</v>
      </c>
      <c r="K1704" s="90">
        <f t="shared" si="280"/>
        <v>0</v>
      </c>
      <c r="L1704" s="90">
        <f t="shared" si="281"/>
        <v>0</v>
      </c>
      <c r="M1704" s="90">
        <f t="shared" si="282"/>
        <v>0</v>
      </c>
      <c r="N1704" s="90">
        <v>6.4999999999999997E-4</v>
      </c>
      <c r="O1704" s="90">
        <f t="shared" si="283"/>
        <v>6.4999999999999997E-4</v>
      </c>
      <c r="P1704" s="92" t="s">
        <v>64</v>
      </c>
      <c r="Z1704" s="93">
        <f t="shared" si="284"/>
        <v>0</v>
      </c>
      <c r="AB1704" s="93">
        <f t="shared" si="285"/>
        <v>0</v>
      </c>
      <c r="AC1704" s="93">
        <f t="shared" si="286"/>
        <v>0</v>
      </c>
      <c r="AD1704" s="93">
        <f t="shared" si="287"/>
        <v>0</v>
      </c>
      <c r="AE1704" s="93">
        <f t="shared" si="288"/>
        <v>0</v>
      </c>
      <c r="AF1704" s="93">
        <f t="shared" si="289"/>
        <v>0</v>
      </c>
      <c r="AG1704" s="93">
        <f t="shared" si="290"/>
        <v>0</v>
      </c>
      <c r="AH1704" s="93">
        <f t="shared" si="291"/>
        <v>0</v>
      </c>
      <c r="AI1704" s="88" t="s">
        <v>55</v>
      </c>
      <c r="AJ1704" s="93">
        <f t="shared" si="292"/>
        <v>0</v>
      </c>
      <c r="AK1704" s="93">
        <f t="shared" si="293"/>
        <v>0</v>
      </c>
      <c r="AL1704" s="93">
        <f t="shared" si="294"/>
        <v>0</v>
      </c>
      <c r="AN1704" s="93">
        <v>21</v>
      </c>
      <c r="AO1704" s="93">
        <f>H1704*0.91199187</f>
        <v>0</v>
      </c>
      <c r="AP1704" s="93">
        <f>H1704*(1-0.91199187)</f>
        <v>0</v>
      </c>
      <c r="AQ1704" s="94" t="s">
        <v>148</v>
      </c>
      <c r="AV1704" s="93">
        <f t="shared" si="295"/>
        <v>0</v>
      </c>
      <c r="AW1704" s="93">
        <f t="shared" si="296"/>
        <v>0</v>
      </c>
      <c r="AX1704" s="93">
        <f t="shared" si="297"/>
        <v>0</v>
      </c>
      <c r="AY1704" s="94" t="s">
        <v>2049</v>
      </c>
      <c r="AZ1704" s="94" t="s">
        <v>1915</v>
      </c>
      <c r="BA1704" s="88" t="s">
        <v>67</v>
      </c>
      <c r="BC1704" s="93">
        <f t="shared" si="298"/>
        <v>0</v>
      </c>
      <c r="BD1704" s="93">
        <f t="shared" si="299"/>
        <v>0</v>
      </c>
      <c r="BE1704" s="93">
        <v>0</v>
      </c>
      <c r="BF1704" s="93">
        <f t="shared" si="300"/>
        <v>6.4999999999999997E-4</v>
      </c>
      <c r="BH1704" s="93">
        <f t="shared" si="301"/>
        <v>0</v>
      </c>
      <c r="BI1704" s="93">
        <f t="shared" si="302"/>
        <v>0</v>
      </c>
      <c r="BJ1704" s="93">
        <f t="shared" si="303"/>
        <v>0</v>
      </c>
      <c r="BK1704" s="93"/>
      <c r="BL1704" s="93">
        <v>734</v>
      </c>
      <c r="BW1704" s="93" t="str">
        <f t="shared" si="304"/>
        <v>21</v>
      </c>
      <c r="BX1704" s="2" t="s">
        <v>2055</v>
      </c>
    </row>
    <row r="1705" spans="1:76" s="81" customFormat="1" ht="25.5" x14ac:dyDescent="0.25">
      <c r="A1705" s="66" t="s">
        <v>2059</v>
      </c>
      <c r="B1705" s="72" t="s">
        <v>55</v>
      </c>
      <c r="C1705" s="72" t="s">
        <v>2057</v>
      </c>
      <c r="D1705" s="174" t="s">
        <v>2058</v>
      </c>
      <c r="E1705" s="174"/>
      <c r="F1705" s="72" t="s">
        <v>203</v>
      </c>
      <c r="G1705" s="90">
        <v>2</v>
      </c>
      <c r="H1705" s="91"/>
      <c r="I1705" s="92" t="s">
        <v>63</v>
      </c>
      <c r="J1705" s="90">
        <f t="shared" si="279"/>
        <v>0</v>
      </c>
      <c r="K1705" s="90">
        <f t="shared" si="280"/>
        <v>0</v>
      </c>
      <c r="L1705" s="90">
        <f t="shared" si="281"/>
        <v>0</v>
      </c>
      <c r="M1705" s="90">
        <f t="shared" si="282"/>
        <v>0</v>
      </c>
      <c r="N1705" s="90">
        <v>6.4999999999999997E-4</v>
      </c>
      <c r="O1705" s="90">
        <f t="shared" si="283"/>
        <v>1.2999999999999999E-3</v>
      </c>
      <c r="P1705" s="92" t="s">
        <v>64</v>
      </c>
      <c r="Z1705" s="93">
        <f t="shared" si="284"/>
        <v>0</v>
      </c>
      <c r="AB1705" s="93">
        <f t="shared" si="285"/>
        <v>0</v>
      </c>
      <c r="AC1705" s="93">
        <f t="shared" si="286"/>
        <v>0</v>
      </c>
      <c r="AD1705" s="93">
        <f t="shared" si="287"/>
        <v>0</v>
      </c>
      <c r="AE1705" s="93">
        <f t="shared" si="288"/>
        <v>0</v>
      </c>
      <c r="AF1705" s="93">
        <f t="shared" si="289"/>
        <v>0</v>
      </c>
      <c r="AG1705" s="93">
        <f t="shared" si="290"/>
        <v>0</v>
      </c>
      <c r="AH1705" s="93">
        <f t="shared" si="291"/>
        <v>0</v>
      </c>
      <c r="AI1705" s="88" t="s">
        <v>55</v>
      </c>
      <c r="AJ1705" s="93">
        <f t="shared" si="292"/>
        <v>0</v>
      </c>
      <c r="AK1705" s="93">
        <f t="shared" si="293"/>
        <v>0</v>
      </c>
      <c r="AL1705" s="93">
        <f t="shared" si="294"/>
        <v>0</v>
      </c>
      <c r="AN1705" s="93">
        <v>21</v>
      </c>
      <c r="AO1705" s="93">
        <f>H1705*0.888392278</f>
        <v>0</v>
      </c>
      <c r="AP1705" s="93">
        <f>H1705*(1-0.888392278)</f>
        <v>0</v>
      </c>
      <c r="AQ1705" s="94" t="s">
        <v>148</v>
      </c>
      <c r="AV1705" s="93">
        <f t="shared" si="295"/>
        <v>0</v>
      </c>
      <c r="AW1705" s="93">
        <f t="shared" si="296"/>
        <v>0</v>
      </c>
      <c r="AX1705" s="93">
        <f t="shared" si="297"/>
        <v>0</v>
      </c>
      <c r="AY1705" s="94" t="s">
        <v>2049</v>
      </c>
      <c r="AZ1705" s="94" t="s">
        <v>1915</v>
      </c>
      <c r="BA1705" s="88" t="s">
        <v>67</v>
      </c>
      <c r="BC1705" s="93">
        <f t="shared" si="298"/>
        <v>0</v>
      </c>
      <c r="BD1705" s="93">
        <f t="shared" si="299"/>
        <v>0</v>
      </c>
      <c r="BE1705" s="93">
        <v>0</v>
      </c>
      <c r="BF1705" s="93">
        <f t="shared" si="300"/>
        <v>1.2999999999999999E-3</v>
      </c>
      <c r="BH1705" s="93">
        <f t="shared" si="301"/>
        <v>0</v>
      </c>
      <c r="BI1705" s="93">
        <f t="shared" si="302"/>
        <v>0</v>
      </c>
      <c r="BJ1705" s="93">
        <f t="shared" si="303"/>
        <v>0</v>
      </c>
      <c r="BK1705" s="93"/>
      <c r="BL1705" s="93">
        <v>734</v>
      </c>
      <c r="BW1705" s="93" t="str">
        <f t="shared" si="304"/>
        <v>21</v>
      </c>
      <c r="BX1705" s="2" t="s">
        <v>2058</v>
      </c>
    </row>
    <row r="1706" spans="1:76" s="81" customFormat="1" ht="25.5" x14ac:dyDescent="0.25">
      <c r="A1706" s="66" t="s">
        <v>2062</v>
      </c>
      <c r="B1706" s="72" t="s">
        <v>55</v>
      </c>
      <c r="C1706" s="72" t="s">
        <v>2060</v>
      </c>
      <c r="D1706" s="174" t="s">
        <v>2061</v>
      </c>
      <c r="E1706" s="174"/>
      <c r="F1706" s="72" t="s">
        <v>203</v>
      </c>
      <c r="G1706" s="90">
        <v>1</v>
      </c>
      <c r="H1706" s="91"/>
      <c r="I1706" s="92" t="s">
        <v>63</v>
      </c>
      <c r="J1706" s="90">
        <f t="shared" si="279"/>
        <v>0</v>
      </c>
      <c r="K1706" s="90">
        <f t="shared" si="280"/>
        <v>0</v>
      </c>
      <c r="L1706" s="90">
        <f t="shared" si="281"/>
        <v>0</v>
      </c>
      <c r="M1706" s="90">
        <f t="shared" si="282"/>
        <v>0</v>
      </c>
      <c r="N1706" s="90">
        <v>5.5000000000000003E-4</v>
      </c>
      <c r="O1706" s="90">
        <f t="shared" si="283"/>
        <v>5.5000000000000003E-4</v>
      </c>
      <c r="P1706" s="92" t="s">
        <v>64</v>
      </c>
      <c r="Z1706" s="93">
        <f t="shared" si="284"/>
        <v>0</v>
      </c>
      <c r="AB1706" s="93">
        <f t="shared" si="285"/>
        <v>0</v>
      </c>
      <c r="AC1706" s="93">
        <f t="shared" si="286"/>
        <v>0</v>
      </c>
      <c r="AD1706" s="93">
        <f t="shared" si="287"/>
        <v>0</v>
      </c>
      <c r="AE1706" s="93">
        <f t="shared" si="288"/>
        <v>0</v>
      </c>
      <c r="AF1706" s="93">
        <f t="shared" si="289"/>
        <v>0</v>
      </c>
      <c r="AG1706" s="93">
        <f t="shared" si="290"/>
        <v>0</v>
      </c>
      <c r="AH1706" s="93">
        <f t="shared" si="291"/>
        <v>0</v>
      </c>
      <c r="AI1706" s="88" t="s">
        <v>55</v>
      </c>
      <c r="AJ1706" s="93">
        <f t="shared" si="292"/>
        <v>0</v>
      </c>
      <c r="AK1706" s="93">
        <f t="shared" si="293"/>
        <v>0</v>
      </c>
      <c r="AL1706" s="93">
        <f t="shared" si="294"/>
        <v>0</v>
      </c>
      <c r="AN1706" s="93">
        <v>21</v>
      </c>
      <c r="AO1706" s="93">
        <f>H1706*0.864080717</f>
        <v>0</v>
      </c>
      <c r="AP1706" s="93">
        <f>H1706*(1-0.864080717)</f>
        <v>0</v>
      </c>
      <c r="AQ1706" s="94" t="s">
        <v>148</v>
      </c>
      <c r="AV1706" s="93">
        <f t="shared" si="295"/>
        <v>0</v>
      </c>
      <c r="AW1706" s="93">
        <f t="shared" si="296"/>
        <v>0</v>
      </c>
      <c r="AX1706" s="93">
        <f t="shared" si="297"/>
        <v>0</v>
      </c>
      <c r="AY1706" s="94" t="s">
        <v>2049</v>
      </c>
      <c r="AZ1706" s="94" t="s">
        <v>1915</v>
      </c>
      <c r="BA1706" s="88" t="s">
        <v>67</v>
      </c>
      <c r="BC1706" s="93">
        <f t="shared" si="298"/>
        <v>0</v>
      </c>
      <c r="BD1706" s="93">
        <f t="shared" si="299"/>
        <v>0</v>
      </c>
      <c r="BE1706" s="93">
        <v>0</v>
      </c>
      <c r="BF1706" s="93">
        <f t="shared" si="300"/>
        <v>5.5000000000000003E-4</v>
      </c>
      <c r="BH1706" s="93">
        <f t="shared" si="301"/>
        <v>0</v>
      </c>
      <c r="BI1706" s="93">
        <f t="shared" si="302"/>
        <v>0</v>
      </c>
      <c r="BJ1706" s="93">
        <f t="shared" si="303"/>
        <v>0</v>
      </c>
      <c r="BK1706" s="93"/>
      <c r="BL1706" s="93">
        <v>734</v>
      </c>
      <c r="BW1706" s="93" t="str">
        <f t="shared" si="304"/>
        <v>21</v>
      </c>
      <c r="BX1706" s="2" t="s">
        <v>2061</v>
      </c>
    </row>
    <row r="1707" spans="1:76" s="81" customFormat="1" ht="25.5" x14ac:dyDescent="0.25">
      <c r="A1707" s="66" t="s">
        <v>2065</v>
      </c>
      <c r="B1707" s="72" t="s">
        <v>55</v>
      </c>
      <c r="C1707" s="72" t="s">
        <v>2063</v>
      </c>
      <c r="D1707" s="174" t="s">
        <v>2064</v>
      </c>
      <c r="E1707" s="174"/>
      <c r="F1707" s="72" t="s">
        <v>203</v>
      </c>
      <c r="G1707" s="90">
        <v>5</v>
      </c>
      <c r="H1707" s="91"/>
      <c r="I1707" s="92" t="s">
        <v>63</v>
      </c>
      <c r="J1707" s="90">
        <f t="shared" si="279"/>
        <v>0</v>
      </c>
      <c r="K1707" s="90">
        <f t="shared" si="280"/>
        <v>0</v>
      </c>
      <c r="L1707" s="90">
        <f t="shared" si="281"/>
        <v>0</v>
      </c>
      <c r="M1707" s="90">
        <f t="shared" si="282"/>
        <v>0</v>
      </c>
      <c r="N1707" s="90">
        <v>6.8000000000000005E-4</v>
      </c>
      <c r="O1707" s="90">
        <f t="shared" si="283"/>
        <v>3.4000000000000002E-3</v>
      </c>
      <c r="P1707" s="92" t="s">
        <v>64</v>
      </c>
      <c r="Z1707" s="93">
        <f t="shared" si="284"/>
        <v>0</v>
      </c>
      <c r="AB1707" s="93">
        <f t="shared" si="285"/>
        <v>0</v>
      </c>
      <c r="AC1707" s="93">
        <f t="shared" si="286"/>
        <v>0</v>
      </c>
      <c r="AD1707" s="93">
        <f t="shared" si="287"/>
        <v>0</v>
      </c>
      <c r="AE1707" s="93">
        <f t="shared" si="288"/>
        <v>0</v>
      </c>
      <c r="AF1707" s="93">
        <f t="shared" si="289"/>
        <v>0</v>
      </c>
      <c r="AG1707" s="93">
        <f t="shared" si="290"/>
        <v>0</v>
      </c>
      <c r="AH1707" s="93">
        <f t="shared" si="291"/>
        <v>0</v>
      </c>
      <c r="AI1707" s="88" t="s">
        <v>55</v>
      </c>
      <c r="AJ1707" s="93">
        <f t="shared" si="292"/>
        <v>0</v>
      </c>
      <c r="AK1707" s="93">
        <f t="shared" si="293"/>
        <v>0</v>
      </c>
      <c r="AL1707" s="93">
        <f t="shared" si="294"/>
        <v>0</v>
      </c>
      <c r="AN1707" s="93">
        <v>21</v>
      </c>
      <c r="AO1707" s="93">
        <f>H1707*0.860529898</f>
        <v>0</v>
      </c>
      <c r="AP1707" s="93">
        <f>H1707*(1-0.860529898)</f>
        <v>0</v>
      </c>
      <c r="AQ1707" s="94" t="s">
        <v>148</v>
      </c>
      <c r="AV1707" s="93">
        <f t="shared" si="295"/>
        <v>0</v>
      </c>
      <c r="AW1707" s="93">
        <f t="shared" si="296"/>
        <v>0</v>
      </c>
      <c r="AX1707" s="93">
        <f t="shared" si="297"/>
        <v>0</v>
      </c>
      <c r="AY1707" s="94" t="s">
        <v>2049</v>
      </c>
      <c r="AZ1707" s="94" t="s">
        <v>1915</v>
      </c>
      <c r="BA1707" s="88" t="s">
        <v>67</v>
      </c>
      <c r="BC1707" s="93">
        <f t="shared" si="298"/>
        <v>0</v>
      </c>
      <c r="BD1707" s="93">
        <f t="shared" si="299"/>
        <v>0</v>
      </c>
      <c r="BE1707" s="93">
        <v>0</v>
      </c>
      <c r="BF1707" s="93">
        <f t="shared" si="300"/>
        <v>3.4000000000000002E-3</v>
      </c>
      <c r="BH1707" s="93">
        <f t="shared" si="301"/>
        <v>0</v>
      </c>
      <c r="BI1707" s="93">
        <f t="shared" si="302"/>
        <v>0</v>
      </c>
      <c r="BJ1707" s="93">
        <f t="shared" si="303"/>
        <v>0</v>
      </c>
      <c r="BK1707" s="93"/>
      <c r="BL1707" s="93">
        <v>734</v>
      </c>
      <c r="BW1707" s="93" t="str">
        <f t="shared" si="304"/>
        <v>21</v>
      </c>
      <c r="BX1707" s="2" t="s">
        <v>2064</v>
      </c>
    </row>
    <row r="1708" spans="1:76" s="81" customFormat="1" ht="25.5" x14ac:dyDescent="0.25">
      <c r="A1708" s="66" t="s">
        <v>2068</v>
      </c>
      <c r="B1708" s="72" t="s">
        <v>55</v>
      </c>
      <c r="C1708" s="72" t="s">
        <v>2066</v>
      </c>
      <c r="D1708" s="174" t="s">
        <v>2067</v>
      </c>
      <c r="E1708" s="174"/>
      <c r="F1708" s="72" t="s">
        <v>203</v>
      </c>
      <c r="G1708" s="90">
        <v>2</v>
      </c>
      <c r="H1708" s="91"/>
      <c r="I1708" s="92" t="s">
        <v>63</v>
      </c>
      <c r="J1708" s="90">
        <f t="shared" si="279"/>
        <v>0</v>
      </c>
      <c r="K1708" s="90">
        <f t="shared" si="280"/>
        <v>0</v>
      </c>
      <c r="L1708" s="90">
        <f t="shared" si="281"/>
        <v>0</v>
      </c>
      <c r="M1708" s="90">
        <f t="shared" si="282"/>
        <v>0</v>
      </c>
      <c r="N1708" s="90">
        <v>1.06E-3</v>
      </c>
      <c r="O1708" s="90">
        <f t="shared" si="283"/>
        <v>2.1199999999999999E-3</v>
      </c>
      <c r="P1708" s="92" t="s">
        <v>64</v>
      </c>
      <c r="Z1708" s="93">
        <f t="shared" si="284"/>
        <v>0</v>
      </c>
      <c r="AB1708" s="93">
        <f t="shared" si="285"/>
        <v>0</v>
      </c>
      <c r="AC1708" s="93">
        <f t="shared" si="286"/>
        <v>0</v>
      </c>
      <c r="AD1708" s="93">
        <f t="shared" si="287"/>
        <v>0</v>
      </c>
      <c r="AE1708" s="93">
        <f t="shared" si="288"/>
        <v>0</v>
      </c>
      <c r="AF1708" s="93">
        <f t="shared" si="289"/>
        <v>0</v>
      </c>
      <c r="AG1708" s="93">
        <f t="shared" si="290"/>
        <v>0</v>
      </c>
      <c r="AH1708" s="93">
        <f t="shared" si="291"/>
        <v>0</v>
      </c>
      <c r="AI1708" s="88" t="s">
        <v>55</v>
      </c>
      <c r="AJ1708" s="93">
        <f t="shared" si="292"/>
        <v>0</v>
      </c>
      <c r="AK1708" s="93">
        <f t="shared" si="293"/>
        <v>0</v>
      </c>
      <c r="AL1708" s="93">
        <f t="shared" si="294"/>
        <v>0</v>
      </c>
      <c r="AN1708" s="93">
        <v>21</v>
      </c>
      <c r="AO1708" s="93">
        <f>H1708*0.877497436</f>
        <v>0</v>
      </c>
      <c r="AP1708" s="93">
        <f>H1708*(1-0.877497436)</f>
        <v>0</v>
      </c>
      <c r="AQ1708" s="94" t="s">
        <v>148</v>
      </c>
      <c r="AV1708" s="93">
        <f t="shared" si="295"/>
        <v>0</v>
      </c>
      <c r="AW1708" s="93">
        <f t="shared" si="296"/>
        <v>0</v>
      </c>
      <c r="AX1708" s="93">
        <f t="shared" si="297"/>
        <v>0</v>
      </c>
      <c r="AY1708" s="94" t="s">
        <v>2049</v>
      </c>
      <c r="AZ1708" s="94" t="s">
        <v>1915</v>
      </c>
      <c r="BA1708" s="88" t="s">
        <v>67</v>
      </c>
      <c r="BC1708" s="93">
        <f t="shared" si="298"/>
        <v>0</v>
      </c>
      <c r="BD1708" s="93">
        <f t="shared" si="299"/>
        <v>0</v>
      </c>
      <c r="BE1708" s="93">
        <v>0</v>
      </c>
      <c r="BF1708" s="93">
        <f t="shared" si="300"/>
        <v>2.1199999999999999E-3</v>
      </c>
      <c r="BH1708" s="93">
        <f t="shared" si="301"/>
        <v>0</v>
      </c>
      <c r="BI1708" s="93">
        <f t="shared" si="302"/>
        <v>0</v>
      </c>
      <c r="BJ1708" s="93">
        <f t="shared" si="303"/>
        <v>0</v>
      </c>
      <c r="BK1708" s="93"/>
      <c r="BL1708" s="93">
        <v>734</v>
      </c>
      <c r="BW1708" s="93" t="str">
        <f t="shared" si="304"/>
        <v>21</v>
      </c>
      <c r="BX1708" s="2" t="s">
        <v>2067</v>
      </c>
    </row>
    <row r="1709" spans="1:76" s="81" customFormat="1" ht="25.5" x14ac:dyDescent="0.25">
      <c r="A1709" s="66" t="s">
        <v>2071</v>
      </c>
      <c r="B1709" s="72" t="s">
        <v>55</v>
      </c>
      <c r="C1709" s="72" t="s">
        <v>2069</v>
      </c>
      <c r="D1709" s="174" t="s">
        <v>2070</v>
      </c>
      <c r="E1709" s="174"/>
      <c r="F1709" s="72" t="s">
        <v>203</v>
      </c>
      <c r="G1709" s="90">
        <v>3</v>
      </c>
      <c r="H1709" s="91"/>
      <c r="I1709" s="92" t="s">
        <v>63</v>
      </c>
      <c r="J1709" s="90">
        <f t="shared" si="279"/>
        <v>0</v>
      </c>
      <c r="K1709" s="90">
        <f t="shared" si="280"/>
        <v>0</v>
      </c>
      <c r="L1709" s="90">
        <f t="shared" si="281"/>
        <v>0</v>
      </c>
      <c r="M1709" s="90">
        <f t="shared" si="282"/>
        <v>0</v>
      </c>
      <c r="N1709" s="90">
        <v>1.8000000000000001E-4</v>
      </c>
      <c r="O1709" s="90">
        <f t="shared" si="283"/>
        <v>5.4000000000000001E-4</v>
      </c>
      <c r="P1709" s="92" t="s">
        <v>64</v>
      </c>
      <c r="Z1709" s="93">
        <f t="shared" si="284"/>
        <v>0</v>
      </c>
      <c r="AB1709" s="93">
        <f t="shared" si="285"/>
        <v>0</v>
      </c>
      <c r="AC1709" s="93">
        <f t="shared" si="286"/>
        <v>0</v>
      </c>
      <c r="AD1709" s="93">
        <f t="shared" si="287"/>
        <v>0</v>
      </c>
      <c r="AE1709" s="93">
        <f t="shared" si="288"/>
        <v>0</v>
      </c>
      <c r="AF1709" s="93">
        <f t="shared" si="289"/>
        <v>0</v>
      </c>
      <c r="AG1709" s="93">
        <f t="shared" si="290"/>
        <v>0</v>
      </c>
      <c r="AH1709" s="93">
        <f t="shared" si="291"/>
        <v>0</v>
      </c>
      <c r="AI1709" s="88" t="s">
        <v>55</v>
      </c>
      <c r="AJ1709" s="93">
        <f t="shared" si="292"/>
        <v>0</v>
      </c>
      <c r="AK1709" s="93">
        <f t="shared" si="293"/>
        <v>0</v>
      </c>
      <c r="AL1709" s="93">
        <f t="shared" si="294"/>
        <v>0</v>
      </c>
      <c r="AN1709" s="93">
        <v>21</v>
      </c>
      <c r="AO1709" s="93">
        <f>H1709*0.823865546</f>
        <v>0</v>
      </c>
      <c r="AP1709" s="93">
        <f>H1709*(1-0.823865546)</f>
        <v>0</v>
      </c>
      <c r="AQ1709" s="94" t="s">
        <v>148</v>
      </c>
      <c r="AV1709" s="93">
        <f t="shared" si="295"/>
        <v>0</v>
      </c>
      <c r="AW1709" s="93">
        <f t="shared" si="296"/>
        <v>0</v>
      </c>
      <c r="AX1709" s="93">
        <f t="shared" si="297"/>
        <v>0</v>
      </c>
      <c r="AY1709" s="94" t="s">
        <v>2049</v>
      </c>
      <c r="AZ1709" s="94" t="s">
        <v>1915</v>
      </c>
      <c r="BA1709" s="88" t="s">
        <v>67</v>
      </c>
      <c r="BC1709" s="93">
        <f t="shared" si="298"/>
        <v>0</v>
      </c>
      <c r="BD1709" s="93">
        <f t="shared" si="299"/>
        <v>0</v>
      </c>
      <c r="BE1709" s="93">
        <v>0</v>
      </c>
      <c r="BF1709" s="93">
        <f t="shared" si="300"/>
        <v>5.4000000000000001E-4</v>
      </c>
      <c r="BH1709" s="93">
        <f t="shared" si="301"/>
        <v>0</v>
      </c>
      <c r="BI1709" s="93">
        <f t="shared" si="302"/>
        <v>0</v>
      </c>
      <c r="BJ1709" s="93">
        <f t="shared" si="303"/>
        <v>0</v>
      </c>
      <c r="BK1709" s="93"/>
      <c r="BL1709" s="93">
        <v>734</v>
      </c>
      <c r="BW1709" s="93" t="str">
        <f t="shared" si="304"/>
        <v>21</v>
      </c>
      <c r="BX1709" s="2" t="s">
        <v>2070</v>
      </c>
    </row>
    <row r="1710" spans="1:76" s="81" customFormat="1" ht="25.5" x14ac:dyDescent="0.25">
      <c r="A1710" s="66" t="s">
        <v>2074</v>
      </c>
      <c r="B1710" s="72" t="s">
        <v>55</v>
      </c>
      <c r="C1710" s="72" t="s">
        <v>2072</v>
      </c>
      <c r="D1710" s="174" t="s">
        <v>2073</v>
      </c>
      <c r="E1710" s="174"/>
      <c r="F1710" s="72" t="s">
        <v>203</v>
      </c>
      <c r="G1710" s="90">
        <v>4</v>
      </c>
      <c r="H1710" s="91"/>
      <c r="I1710" s="92" t="s">
        <v>63</v>
      </c>
      <c r="J1710" s="90">
        <f t="shared" si="279"/>
        <v>0</v>
      </c>
      <c r="K1710" s="90">
        <f t="shared" si="280"/>
        <v>0</v>
      </c>
      <c r="L1710" s="90">
        <f t="shared" si="281"/>
        <v>0</v>
      </c>
      <c r="M1710" s="90">
        <f t="shared" si="282"/>
        <v>0</v>
      </c>
      <c r="N1710" s="90">
        <v>5.9999999999999995E-4</v>
      </c>
      <c r="O1710" s="90">
        <f t="shared" si="283"/>
        <v>2.3999999999999998E-3</v>
      </c>
      <c r="P1710" s="92" t="s">
        <v>64</v>
      </c>
      <c r="Z1710" s="93">
        <f t="shared" si="284"/>
        <v>0</v>
      </c>
      <c r="AB1710" s="93">
        <f t="shared" si="285"/>
        <v>0</v>
      </c>
      <c r="AC1710" s="93">
        <f t="shared" si="286"/>
        <v>0</v>
      </c>
      <c r="AD1710" s="93">
        <f t="shared" si="287"/>
        <v>0</v>
      </c>
      <c r="AE1710" s="93">
        <f t="shared" si="288"/>
        <v>0</v>
      </c>
      <c r="AF1710" s="93">
        <f t="shared" si="289"/>
        <v>0</v>
      </c>
      <c r="AG1710" s="93">
        <f t="shared" si="290"/>
        <v>0</v>
      </c>
      <c r="AH1710" s="93">
        <f t="shared" si="291"/>
        <v>0</v>
      </c>
      <c r="AI1710" s="88" t="s">
        <v>55</v>
      </c>
      <c r="AJ1710" s="93">
        <f t="shared" si="292"/>
        <v>0</v>
      </c>
      <c r="AK1710" s="93">
        <f t="shared" si="293"/>
        <v>0</v>
      </c>
      <c r="AL1710" s="93">
        <f t="shared" si="294"/>
        <v>0</v>
      </c>
      <c r="AN1710" s="93">
        <v>21</v>
      </c>
      <c r="AO1710" s="93">
        <f>H1710*0.704311295</f>
        <v>0</v>
      </c>
      <c r="AP1710" s="93">
        <f>H1710*(1-0.704311295)</f>
        <v>0</v>
      </c>
      <c r="AQ1710" s="94" t="s">
        <v>148</v>
      </c>
      <c r="AV1710" s="93">
        <f t="shared" si="295"/>
        <v>0</v>
      </c>
      <c r="AW1710" s="93">
        <f t="shared" si="296"/>
        <v>0</v>
      </c>
      <c r="AX1710" s="93">
        <f t="shared" si="297"/>
        <v>0</v>
      </c>
      <c r="AY1710" s="94" t="s">
        <v>2049</v>
      </c>
      <c r="AZ1710" s="94" t="s">
        <v>1915</v>
      </c>
      <c r="BA1710" s="88" t="s">
        <v>67</v>
      </c>
      <c r="BC1710" s="93">
        <f t="shared" si="298"/>
        <v>0</v>
      </c>
      <c r="BD1710" s="93">
        <f t="shared" si="299"/>
        <v>0</v>
      </c>
      <c r="BE1710" s="93">
        <v>0</v>
      </c>
      <c r="BF1710" s="93">
        <f t="shared" si="300"/>
        <v>2.3999999999999998E-3</v>
      </c>
      <c r="BH1710" s="93">
        <f t="shared" si="301"/>
        <v>0</v>
      </c>
      <c r="BI1710" s="93">
        <f t="shared" si="302"/>
        <v>0</v>
      </c>
      <c r="BJ1710" s="93">
        <f t="shared" si="303"/>
        <v>0</v>
      </c>
      <c r="BK1710" s="93"/>
      <c r="BL1710" s="93">
        <v>734</v>
      </c>
      <c r="BW1710" s="93" t="str">
        <f t="shared" si="304"/>
        <v>21</v>
      </c>
      <c r="BX1710" s="2" t="s">
        <v>2073</v>
      </c>
    </row>
    <row r="1711" spans="1:76" s="81" customFormat="1" ht="25.5" x14ac:dyDescent="0.25">
      <c r="A1711" s="66" t="s">
        <v>2077</v>
      </c>
      <c r="B1711" s="72" t="s">
        <v>55</v>
      </c>
      <c r="C1711" s="72" t="s">
        <v>2075</v>
      </c>
      <c r="D1711" s="174" t="s">
        <v>2076</v>
      </c>
      <c r="E1711" s="174"/>
      <c r="F1711" s="72" t="s">
        <v>1332</v>
      </c>
      <c r="G1711" s="90">
        <v>3</v>
      </c>
      <c r="H1711" s="91"/>
      <c r="I1711" s="92" t="s">
        <v>63</v>
      </c>
      <c r="J1711" s="90">
        <f t="shared" si="279"/>
        <v>0</v>
      </c>
      <c r="K1711" s="90">
        <f t="shared" si="280"/>
        <v>0</v>
      </c>
      <c r="L1711" s="90">
        <f t="shared" si="281"/>
        <v>0</v>
      </c>
      <c r="M1711" s="90">
        <f t="shared" si="282"/>
        <v>0</v>
      </c>
      <c r="N1711" s="90">
        <v>1.25E-3</v>
      </c>
      <c r="O1711" s="90">
        <f t="shared" si="283"/>
        <v>3.7499999999999999E-3</v>
      </c>
      <c r="P1711" s="92" t="s">
        <v>64</v>
      </c>
      <c r="Z1711" s="93">
        <f t="shared" si="284"/>
        <v>0</v>
      </c>
      <c r="AB1711" s="93">
        <f t="shared" si="285"/>
        <v>0</v>
      </c>
      <c r="AC1711" s="93">
        <f t="shared" si="286"/>
        <v>0</v>
      </c>
      <c r="AD1711" s="93">
        <f t="shared" si="287"/>
        <v>0</v>
      </c>
      <c r="AE1711" s="93">
        <f t="shared" si="288"/>
        <v>0</v>
      </c>
      <c r="AF1711" s="93">
        <f t="shared" si="289"/>
        <v>0</v>
      </c>
      <c r="AG1711" s="93">
        <f t="shared" si="290"/>
        <v>0</v>
      </c>
      <c r="AH1711" s="93">
        <f t="shared" si="291"/>
        <v>0</v>
      </c>
      <c r="AI1711" s="88" t="s">
        <v>55</v>
      </c>
      <c r="AJ1711" s="93">
        <f t="shared" si="292"/>
        <v>0</v>
      </c>
      <c r="AK1711" s="93">
        <f t="shared" si="293"/>
        <v>0</v>
      </c>
      <c r="AL1711" s="93">
        <f t="shared" si="294"/>
        <v>0</v>
      </c>
      <c r="AN1711" s="93">
        <v>21</v>
      </c>
      <c r="AO1711" s="93">
        <f>H1711*0.958779219</f>
        <v>0</v>
      </c>
      <c r="AP1711" s="93">
        <f>H1711*(1-0.958779219)</f>
        <v>0</v>
      </c>
      <c r="AQ1711" s="94" t="s">
        <v>148</v>
      </c>
      <c r="AV1711" s="93">
        <f t="shared" si="295"/>
        <v>0</v>
      </c>
      <c r="AW1711" s="93">
        <f t="shared" si="296"/>
        <v>0</v>
      </c>
      <c r="AX1711" s="93">
        <f t="shared" si="297"/>
        <v>0</v>
      </c>
      <c r="AY1711" s="94" t="s">
        <v>2049</v>
      </c>
      <c r="AZ1711" s="94" t="s">
        <v>1915</v>
      </c>
      <c r="BA1711" s="88" t="s">
        <v>67</v>
      </c>
      <c r="BC1711" s="93">
        <f t="shared" si="298"/>
        <v>0</v>
      </c>
      <c r="BD1711" s="93">
        <f t="shared" si="299"/>
        <v>0</v>
      </c>
      <c r="BE1711" s="93">
        <v>0</v>
      </c>
      <c r="BF1711" s="93">
        <f t="shared" si="300"/>
        <v>3.7499999999999999E-3</v>
      </c>
      <c r="BH1711" s="93">
        <f t="shared" si="301"/>
        <v>0</v>
      </c>
      <c r="BI1711" s="93">
        <f t="shared" si="302"/>
        <v>0</v>
      </c>
      <c r="BJ1711" s="93">
        <f t="shared" si="303"/>
        <v>0</v>
      </c>
      <c r="BK1711" s="93"/>
      <c r="BL1711" s="93">
        <v>734</v>
      </c>
      <c r="BW1711" s="93" t="str">
        <f t="shared" si="304"/>
        <v>21</v>
      </c>
      <c r="BX1711" s="2" t="s">
        <v>2076</v>
      </c>
    </row>
    <row r="1712" spans="1:76" s="81" customFormat="1" ht="25.5" x14ac:dyDescent="0.25">
      <c r="A1712" s="66" t="s">
        <v>2080</v>
      </c>
      <c r="B1712" s="72" t="s">
        <v>55</v>
      </c>
      <c r="C1712" s="72" t="s">
        <v>2078</v>
      </c>
      <c r="D1712" s="174" t="s">
        <v>2079</v>
      </c>
      <c r="E1712" s="174"/>
      <c r="F1712" s="72" t="s">
        <v>203</v>
      </c>
      <c r="G1712" s="90">
        <v>4</v>
      </c>
      <c r="H1712" s="91"/>
      <c r="I1712" s="92" t="s">
        <v>63</v>
      </c>
      <c r="J1712" s="90">
        <f t="shared" si="279"/>
        <v>0</v>
      </c>
      <c r="K1712" s="90">
        <f t="shared" si="280"/>
        <v>0</v>
      </c>
      <c r="L1712" s="90">
        <f t="shared" si="281"/>
        <v>0</v>
      </c>
      <c r="M1712" s="90">
        <f t="shared" si="282"/>
        <v>0</v>
      </c>
      <c r="N1712" s="90">
        <v>1E-4</v>
      </c>
      <c r="O1712" s="90">
        <f t="shared" si="283"/>
        <v>4.0000000000000002E-4</v>
      </c>
      <c r="P1712" s="92" t="s">
        <v>64</v>
      </c>
      <c r="Z1712" s="93">
        <f t="shared" si="284"/>
        <v>0</v>
      </c>
      <c r="AB1712" s="93">
        <f t="shared" si="285"/>
        <v>0</v>
      </c>
      <c r="AC1712" s="93">
        <f t="shared" si="286"/>
        <v>0</v>
      </c>
      <c r="AD1712" s="93">
        <f t="shared" si="287"/>
        <v>0</v>
      </c>
      <c r="AE1712" s="93">
        <f t="shared" si="288"/>
        <v>0</v>
      </c>
      <c r="AF1712" s="93">
        <f t="shared" si="289"/>
        <v>0</v>
      </c>
      <c r="AG1712" s="93">
        <f t="shared" si="290"/>
        <v>0</v>
      </c>
      <c r="AH1712" s="93">
        <f t="shared" si="291"/>
        <v>0</v>
      </c>
      <c r="AI1712" s="88" t="s">
        <v>55</v>
      </c>
      <c r="AJ1712" s="93">
        <f t="shared" si="292"/>
        <v>0</v>
      </c>
      <c r="AK1712" s="93">
        <f t="shared" si="293"/>
        <v>0</v>
      </c>
      <c r="AL1712" s="93">
        <f t="shared" si="294"/>
        <v>0</v>
      </c>
      <c r="AN1712" s="93">
        <v>21</v>
      </c>
      <c r="AO1712" s="93">
        <f>H1712*0.893506098</f>
        <v>0</v>
      </c>
      <c r="AP1712" s="93">
        <f>H1712*(1-0.893506098)</f>
        <v>0</v>
      </c>
      <c r="AQ1712" s="94" t="s">
        <v>148</v>
      </c>
      <c r="AV1712" s="93">
        <f t="shared" si="295"/>
        <v>0</v>
      </c>
      <c r="AW1712" s="93">
        <f t="shared" si="296"/>
        <v>0</v>
      </c>
      <c r="AX1712" s="93">
        <f t="shared" si="297"/>
        <v>0</v>
      </c>
      <c r="AY1712" s="94" t="s">
        <v>2049</v>
      </c>
      <c r="AZ1712" s="94" t="s">
        <v>1915</v>
      </c>
      <c r="BA1712" s="88" t="s">
        <v>67</v>
      </c>
      <c r="BC1712" s="93">
        <f t="shared" si="298"/>
        <v>0</v>
      </c>
      <c r="BD1712" s="93">
        <f t="shared" si="299"/>
        <v>0</v>
      </c>
      <c r="BE1712" s="93">
        <v>0</v>
      </c>
      <c r="BF1712" s="93">
        <f t="shared" si="300"/>
        <v>4.0000000000000002E-4</v>
      </c>
      <c r="BH1712" s="93">
        <f t="shared" si="301"/>
        <v>0</v>
      </c>
      <c r="BI1712" s="93">
        <f t="shared" si="302"/>
        <v>0</v>
      </c>
      <c r="BJ1712" s="93">
        <f t="shared" si="303"/>
        <v>0</v>
      </c>
      <c r="BK1712" s="93"/>
      <c r="BL1712" s="93">
        <v>734</v>
      </c>
      <c r="BW1712" s="93" t="str">
        <f t="shared" si="304"/>
        <v>21</v>
      </c>
      <c r="BX1712" s="2" t="s">
        <v>2079</v>
      </c>
    </row>
    <row r="1713" spans="1:76" s="81" customFormat="1" ht="25.5" x14ac:dyDescent="0.25">
      <c r="A1713" s="66" t="s">
        <v>2083</v>
      </c>
      <c r="B1713" s="72" t="s">
        <v>55</v>
      </c>
      <c r="C1713" s="72" t="s">
        <v>2081</v>
      </c>
      <c r="D1713" s="174" t="s">
        <v>2082</v>
      </c>
      <c r="E1713" s="174"/>
      <c r="F1713" s="72" t="s">
        <v>203</v>
      </c>
      <c r="G1713" s="90">
        <v>2</v>
      </c>
      <c r="H1713" s="91"/>
      <c r="I1713" s="92" t="s">
        <v>63</v>
      </c>
      <c r="J1713" s="90">
        <f t="shared" si="279"/>
        <v>0</v>
      </c>
      <c r="K1713" s="90">
        <f t="shared" si="280"/>
        <v>0</v>
      </c>
      <c r="L1713" s="90">
        <f t="shared" si="281"/>
        <v>0</v>
      </c>
      <c r="M1713" s="90">
        <f t="shared" si="282"/>
        <v>0</v>
      </c>
      <c r="N1713" s="90">
        <v>6.8000000000000005E-4</v>
      </c>
      <c r="O1713" s="90">
        <f t="shared" si="283"/>
        <v>1.3600000000000001E-3</v>
      </c>
      <c r="P1713" s="92" t="s">
        <v>64</v>
      </c>
      <c r="Z1713" s="93">
        <f t="shared" si="284"/>
        <v>0</v>
      </c>
      <c r="AB1713" s="93">
        <f t="shared" si="285"/>
        <v>0</v>
      </c>
      <c r="AC1713" s="93">
        <f t="shared" si="286"/>
        <v>0</v>
      </c>
      <c r="AD1713" s="93">
        <f t="shared" si="287"/>
        <v>0</v>
      </c>
      <c r="AE1713" s="93">
        <f t="shared" si="288"/>
        <v>0</v>
      </c>
      <c r="AF1713" s="93">
        <f t="shared" si="289"/>
        <v>0</v>
      </c>
      <c r="AG1713" s="93">
        <f t="shared" si="290"/>
        <v>0</v>
      </c>
      <c r="AH1713" s="93">
        <f t="shared" si="291"/>
        <v>0</v>
      </c>
      <c r="AI1713" s="88" t="s">
        <v>55</v>
      </c>
      <c r="AJ1713" s="93">
        <f t="shared" si="292"/>
        <v>0</v>
      </c>
      <c r="AK1713" s="93">
        <f t="shared" si="293"/>
        <v>0</v>
      </c>
      <c r="AL1713" s="93">
        <f t="shared" si="294"/>
        <v>0</v>
      </c>
      <c r="AN1713" s="93">
        <v>21</v>
      </c>
      <c r="AO1713" s="93">
        <f>H1713*0.905755343</f>
        <v>0</v>
      </c>
      <c r="AP1713" s="93">
        <f>H1713*(1-0.905755343)</f>
        <v>0</v>
      </c>
      <c r="AQ1713" s="94" t="s">
        <v>148</v>
      </c>
      <c r="AV1713" s="93">
        <f t="shared" si="295"/>
        <v>0</v>
      </c>
      <c r="AW1713" s="93">
        <f t="shared" si="296"/>
        <v>0</v>
      </c>
      <c r="AX1713" s="93">
        <f t="shared" si="297"/>
        <v>0</v>
      </c>
      <c r="AY1713" s="94" t="s">
        <v>2049</v>
      </c>
      <c r="AZ1713" s="94" t="s">
        <v>1915</v>
      </c>
      <c r="BA1713" s="88" t="s">
        <v>67</v>
      </c>
      <c r="BC1713" s="93">
        <f t="shared" si="298"/>
        <v>0</v>
      </c>
      <c r="BD1713" s="93">
        <f t="shared" si="299"/>
        <v>0</v>
      </c>
      <c r="BE1713" s="93">
        <v>0</v>
      </c>
      <c r="BF1713" s="93">
        <f t="shared" si="300"/>
        <v>1.3600000000000001E-3</v>
      </c>
      <c r="BH1713" s="93">
        <f t="shared" si="301"/>
        <v>0</v>
      </c>
      <c r="BI1713" s="93">
        <f t="shared" si="302"/>
        <v>0</v>
      </c>
      <c r="BJ1713" s="93">
        <f t="shared" si="303"/>
        <v>0</v>
      </c>
      <c r="BK1713" s="93"/>
      <c r="BL1713" s="93">
        <v>734</v>
      </c>
      <c r="BW1713" s="93" t="str">
        <f t="shared" si="304"/>
        <v>21</v>
      </c>
      <c r="BX1713" s="2" t="s">
        <v>2082</v>
      </c>
    </row>
    <row r="1714" spans="1:76" s="81" customFormat="1" ht="25.5" x14ac:dyDescent="0.25">
      <c r="A1714" s="66" t="s">
        <v>2086</v>
      </c>
      <c r="B1714" s="72" t="s">
        <v>55</v>
      </c>
      <c r="C1714" s="72" t="s">
        <v>2084</v>
      </c>
      <c r="D1714" s="174" t="s">
        <v>2085</v>
      </c>
      <c r="E1714" s="174"/>
      <c r="F1714" s="72" t="s">
        <v>203</v>
      </c>
      <c r="G1714" s="90">
        <v>1</v>
      </c>
      <c r="H1714" s="91"/>
      <c r="I1714" s="92" t="s">
        <v>63</v>
      </c>
      <c r="J1714" s="90">
        <f t="shared" si="279"/>
        <v>0</v>
      </c>
      <c r="K1714" s="90">
        <f t="shared" si="280"/>
        <v>0</v>
      </c>
      <c r="L1714" s="90">
        <f t="shared" si="281"/>
        <v>0</v>
      </c>
      <c r="M1714" s="90">
        <f t="shared" si="282"/>
        <v>0</v>
      </c>
      <c r="N1714" s="90">
        <v>2E-3</v>
      </c>
      <c r="O1714" s="90">
        <f t="shared" si="283"/>
        <v>2E-3</v>
      </c>
      <c r="P1714" s="92" t="s">
        <v>64</v>
      </c>
      <c r="Z1714" s="93">
        <f t="shared" si="284"/>
        <v>0</v>
      </c>
      <c r="AB1714" s="93">
        <f t="shared" si="285"/>
        <v>0</v>
      </c>
      <c r="AC1714" s="93">
        <f t="shared" si="286"/>
        <v>0</v>
      </c>
      <c r="AD1714" s="93">
        <f t="shared" si="287"/>
        <v>0</v>
      </c>
      <c r="AE1714" s="93">
        <f t="shared" si="288"/>
        <v>0</v>
      </c>
      <c r="AF1714" s="93">
        <f t="shared" si="289"/>
        <v>0</v>
      </c>
      <c r="AG1714" s="93">
        <f t="shared" si="290"/>
        <v>0</v>
      </c>
      <c r="AH1714" s="93">
        <f t="shared" si="291"/>
        <v>0</v>
      </c>
      <c r="AI1714" s="88" t="s">
        <v>55</v>
      </c>
      <c r="AJ1714" s="93">
        <f t="shared" si="292"/>
        <v>0</v>
      </c>
      <c r="AK1714" s="93">
        <f t="shared" si="293"/>
        <v>0</v>
      </c>
      <c r="AL1714" s="93">
        <f t="shared" si="294"/>
        <v>0</v>
      </c>
      <c r="AN1714" s="93">
        <v>21</v>
      </c>
      <c r="AO1714" s="93">
        <f>H1714*0.980381877</f>
        <v>0</v>
      </c>
      <c r="AP1714" s="93">
        <f>H1714*(1-0.980381877)</f>
        <v>0</v>
      </c>
      <c r="AQ1714" s="94" t="s">
        <v>148</v>
      </c>
      <c r="AV1714" s="93">
        <f t="shared" si="295"/>
        <v>0</v>
      </c>
      <c r="AW1714" s="93">
        <f t="shared" si="296"/>
        <v>0</v>
      </c>
      <c r="AX1714" s="93">
        <f t="shared" si="297"/>
        <v>0</v>
      </c>
      <c r="AY1714" s="94" t="s">
        <v>2049</v>
      </c>
      <c r="AZ1714" s="94" t="s">
        <v>1915</v>
      </c>
      <c r="BA1714" s="88" t="s">
        <v>67</v>
      </c>
      <c r="BC1714" s="93">
        <f t="shared" si="298"/>
        <v>0</v>
      </c>
      <c r="BD1714" s="93">
        <f t="shared" si="299"/>
        <v>0</v>
      </c>
      <c r="BE1714" s="93">
        <v>0</v>
      </c>
      <c r="BF1714" s="93">
        <f t="shared" si="300"/>
        <v>2E-3</v>
      </c>
      <c r="BH1714" s="93">
        <f t="shared" si="301"/>
        <v>0</v>
      </c>
      <c r="BI1714" s="93">
        <f t="shared" si="302"/>
        <v>0</v>
      </c>
      <c r="BJ1714" s="93">
        <f t="shared" si="303"/>
        <v>0</v>
      </c>
      <c r="BK1714" s="93"/>
      <c r="BL1714" s="93">
        <v>734</v>
      </c>
      <c r="BW1714" s="93" t="str">
        <f t="shared" si="304"/>
        <v>21</v>
      </c>
      <c r="BX1714" s="2" t="s">
        <v>2085</v>
      </c>
    </row>
    <row r="1715" spans="1:76" s="81" customFormat="1" ht="25.5" x14ac:dyDescent="0.25">
      <c r="A1715" s="66" t="s">
        <v>2089</v>
      </c>
      <c r="B1715" s="72" t="s">
        <v>55</v>
      </c>
      <c r="C1715" s="72" t="s">
        <v>2087</v>
      </c>
      <c r="D1715" s="174" t="s">
        <v>2088</v>
      </c>
      <c r="E1715" s="174"/>
      <c r="F1715" s="72" t="s">
        <v>1332</v>
      </c>
      <c r="G1715" s="90">
        <v>1</v>
      </c>
      <c r="H1715" s="91"/>
      <c r="I1715" s="92" t="s">
        <v>63</v>
      </c>
      <c r="J1715" s="90">
        <f t="shared" si="279"/>
        <v>0</v>
      </c>
      <c r="K1715" s="90">
        <f t="shared" si="280"/>
        <v>0</v>
      </c>
      <c r="L1715" s="90">
        <f t="shared" si="281"/>
        <v>0</v>
      </c>
      <c r="M1715" s="90">
        <f t="shared" si="282"/>
        <v>0</v>
      </c>
      <c r="N1715" s="90">
        <v>2.7499999999999998E-3</v>
      </c>
      <c r="O1715" s="90">
        <f t="shared" si="283"/>
        <v>2.7499999999999998E-3</v>
      </c>
      <c r="P1715" s="92" t="s">
        <v>64</v>
      </c>
      <c r="Z1715" s="93">
        <f t="shared" si="284"/>
        <v>0</v>
      </c>
      <c r="AB1715" s="93">
        <f t="shared" si="285"/>
        <v>0</v>
      </c>
      <c r="AC1715" s="93">
        <f t="shared" si="286"/>
        <v>0</v>
      </c>
      <c r="AD1715" s="93">
        <f t="shared" si="287"/>
        <v>0</v>
      </c>
      <c r="AE1715" s="93">
        <f t="shared" si="288"/>
        <v>0</v>
      </c>
      <c r="AF1715" s="93">
        <f t="shared" si="289"/>
        <v>0</v>
      </c>
      <c r="AG1715" s="93">
        <f t="shared" si="290"/>
        <v>0</v>
      </c>
      <c r="AH1715" s="93">
        <f t="shared" si="291"/>
        <v>0</v>
      </c>
      <c r="AI1715" s="88" t="s">
        <v>55</v>
      </c>
      <c r="AJ1715" s="93">
        <f t="shared" si="292"/>
        <v>0</v>
      </c>
      <c r="AK1715" s="93">
        <f t="shared" si="293"/>
        <v>0</v>
      </c>
      <c r="AL1715" s="93">
        <f t="shared" si="294"/>
        <v>0</v>
      </c>
      <c r="AN1715" s="93">
        <v>21</v>
      </c>
      <c r="AO1715" s="93">
        <f>H1715*0.988210695</f>
        <v>0</v>
      </c>
      <c r="AP1715" s="93">
        <f>H1715*(1-0.988210695)</f>
        <v>0</v>
      </c>
      <c r="AQ1715" s="94" t="s">
        <v>148</v>
      </c>
      <c r="AV1715" s="93">
        <f t="shared" si="295"/>
        <v>0</v>
      </c>
      <c r="AW1715" s="93">
        <f t="shared" si="296"/>
        <v>0</v>
      </c>
      <c r="AX1715" s="93">
        <f t="shared" si="297"/>
        <v>0</v>
      </c>
      <c r="AY1715" s="94" t="s">
        <v>2049</v>
      </c>
      <c r="AZ1715" s="94" t="s">
        <v>1915</v>
      </c>
      <c r="BA1715" s="88" t="s">
        <v>67</v>
      </c>
      <c r="BC1715" s="93">
        <f t="shared" si="298"/>
        <v>0</v>
      </c>
      <c r="BD1715" s="93">
        <f t="shared" si="299"/>
        <v>0</v>
      </c>
      <c r="BE1715" s="93">
        <v>0</v>
      </c>
      <c r="BF1715" s="93">
        <f t="shared" si="300"/>
        <v>2.7499999999999998E-3</v>
      </c>
      <c r="BH1715" s="93">
        <f t="shared" si="301"/>
        <v>0</v>
      </c>
      <c r="BI1715" s="93">
        <f t="shared" si="302"/>
        <v>0</v>
      </c>
      <c r="BJ1715" s="93">
        <f t="shared" si="303"/>
        <v>0</v>
      </c>
      <c r="BK1715" s="93"/>
      <c r="BL1715" s="93">
        <v>734</v>
      </c>
      <c r="BW1715" s="93" t="str">
        <f t="shared" si="304"/>
        <v>21</v>
      </c>
      <c r="BX1715" s="2" t="s">
        <v>2088</v>
      </c>
    </row>
    <row r="1716" spans="1:76" s="81" customFormat="1" ht="25.5" x14ac:dyDescent="0.25">
      <c r="A1716" s="66" t="s">
        <v>2092</v>
      </c>
      <c r="B1716" s="72" t="s">
        <v>55</v>
      </c>
      <c r="C1716" s="72" t="s">
        <v>2090</v>
      </c>
      <c r="D1716" s="174" t="s">
        <v>2091</v>
      </c>
      <c r="E1716" s="174"/>
      <c r="F1716" s="72" t="s">
        <v>203</v>
      </c>
      <c r="G1716" s="90">
        <v>48</v>
      </c>
      <c r="H1716" s="91"/>
      <c r="I1716" s="92" t="s">
        <v>63</v>
      </c>
      <c r="J1716" s="90">
        <f t="shared" si="279"/>
        <v>0</v>
      </c>
      <c r="K1716" s="90">
        <f t="shared" si="280"/>
        <v>0</v>
      </c>
      <c r="L1716" s="90">
        <f t="shared" si="281"/>
        <v>0</v>
      </c>
      <c r="M1716" s="90">
        <f t="shared" si="282"/>
        <v>0</v>
      </c>
      <c r="N1716" s="90">
        <v>2.5999999999999998E-4</v>
      </c>
      <c r="O1716" s="90">
        <f t="shared" si="283"/>
        <v>1.2479999999999998E-2</v>
      </c>
      <c r="P1716" s="92" t="s">
        <v>64</v>
      </c>
      <c r="Z1716" s="93">
        <f t="shared" si="284"/>
        <v>0</v>
      </c>
      <c r="AB1716" s="93">
        <f t="shared" si="285"/>
        <v>0</v>
      </c>
      <c r="AC1716" s="93">
        <f t="shared" si="286"/>
        <v>0</v>
      </c>
      <c r="AD1716" s="93">
        <f t="shared" si="287"/>
        <v>0</v>
      </c>
      <c r="AE1716" s="93">
        <f t="shared" si="288"/>
        <v>0</v>
      </c>
      <c r="AF1716" s="93">
        <f t="shared" si="289"/>
        <v>0</v>
      </c>
      <c r="AG1716" s="93">
        <f t="shared" si="290"/>
        <v>0</v>
      </c>
      <c r="AH1716" s="93">
        <f t="shared" si="291"/>
        <v>0</v>
      </c>
      <c r="AI1716" s="88" t="s">
        <v>55</v>
      </c>
      <c r="AJ1716" s="93">
        <f t="shared" si="292"/>
        <v>0</v>
      </c>
      <c r="AK1716" s="93">
        <f t="shared" si="293"/>
        <v>0</v>
      </c>
      <c r="AL1716" s="93">
        <f t="shared" si="294"/>
        <v>0</v>
      </c>
      <c r="AN1716" s="93">
        <v>21</v>
      </c>
      <c r="AO1716" s="93">
        <f>H1716*0.90406862</f>
        <v>0</v>
      </c>
      <c r="AP1716" s="93">
        <f>H1716*(1-0.90406862)</f>
        <v>0</v>
      </c>
      <c r="AQ1716" s="94" t="s">
        <v>148</v>
      </c>
      <c r="AV1716" s="93">
        <f t="shared" si="295"/>
        <v>0</v>
      </c>
      <c r="AW1716" s="93">
        <f t="shared" si="296"/>
        <v>0</v>
      </c>
      <c r="AX1716" s="93">
        <f t="shared" si="297"/>
        <v>0</v>
      </c>
      <c r="AY1716" s="94" t="s">
        <v>2049</v>
      </c>
      <c r="AZ1716" s="94" t="s">
        <v>1915</v>
      </c>
      <c r="BA1716" s="88" t="s">
        <v>67</v>
      </c>
      <c r="BC1716" s="93">
        <f t="shared" si="298"/>
        <v>0</v>
      </c>
      <c r="BD1716" s="93">
        <f t="shared" si="299"/>
        <v>0</v>
      </c>
      <c r="BE1716" s="93">
        <v>0</v>
      </c>
      <c r="BF1716" s="93">
        <f t="shared" si="300"/>
        <v>1.2479999999999998E-2</v>
      </c>
      <c r="BH1716" s="93">
        <f t="shared" si="301"/>
        <v>0</v>
      </c>
      <c r="BI1716" s="93">
        <f t="shared" si="302"/>
        <v>0</v>
      </c>
      <c r="BJ1716" s="93">
        <f t="shared" si="303"/>
        <v>0</v>
      </c>
      <c r="BK1716" s="93"/>
      <c r="BL1716" s="93">
        <v>734</v>
      </c>
      <c r="BW1716" s="93" t="str">
        <f t="shared" si="304"/>
        <v>21</v>
      </c>
      <c r="BX1716" s="2" t="s">
        <v>2091</v>
      </c>
    </row>
    <row r="1717" spans="1:76" s="81" customFormat="1" ht="25.5" x14ac:dyDescent="0.25">
      <c r="A1717" s="66" t="s">
        <v>2095</v>
      </c>
      <c r="B1717" s="72" t="s">
        <v>55</v>
      </c>
      <c r="C1717" s="72" t="s">
        <v>2093</v>
      </c>
      <c r="D1717" s="174" t="s">
        <v>2094</v>
      </c>
      <c r="E1717" s="174"/>
      <c r="F1717" s="72" t="s">
        <v>203</v>
      </c>
      <c r="G1717" s="90">
        <v>70</v>
      </c>
      <c r="H1717" s="91"/>
      <c r="I1717" s="92" t="s">
        <v>63</v>
      </c>
      <c r="J1717" s="90">
        <f t="shared" si="279"/>
        <v>0</v>
      </c>
      <c r="K1717" s="90">
        <f t="shared" si="280"/>
        <v>0</v>
      </c>
      <c r="L1717" s="90">
        <f t="shared" si="281"/>
        <v>0</v>
      </c>
      <c r="M1717" s="90">
        <f t="shared" si="282"/>
        <v>0</v>
      </c>
      <c r="N1717" s="90">
        <v>1.3999999999999999E-4</v>
      </c>
      <c r="O1717" s="90">
        <f t="shared" si="283"/>
        <v>9.7999999999999997E-3</v>
      </c>
      <c r="P1717" s="92" t="s">
        <v>64</v>
      </c>
      <c r="Z1717" s="93">
        <f t="shared" si="284"/>
        <v>0</v>
      </c>
      <c r="AB1717" s="93">
        <f t="shared" si="285"/>
        <v>0</v>
      </c>
      <c r="AC1717" s="93">
        <f t="shared" si="286"/>
        <v>0</v>
      </c>
      <c r="AD1717" s="93">
        <f t="shared" si="287"/>
        <v>0</v>
      </c>
      <c r="AE1717" s="93">
        <f t="shared" si="288"/>
        <v>0</v>
      </c>
      <c r="AF1717" s="93">
        <f t="shared" si="289"/>
        <v>0</v>
      </c>
      <c r="AG1717" s="93">
        <f t="shared" si="290"/>
        <v>0</v>
      </c>
      <c r="AH1717" s="93">
        <f t="shared" si="291"/>
        <v>0</v>
      </c>
      <c r="AI1717" s="88" t="s">
        <v>55</v>
      </c>
      <c r="AJ1717" s="93">
        <f t="shared" si="292"/>
        <v>0</v>
      </c>
      <c r="AK1717" s="93">
        <f t="shared" si="293"/>
        <v>0</v>
      </c>
      <c r="AL1717" s="93">
        <f t="shared" si="294"/>
        <v>0</v>
      </c>
      <c r="AN1717" s="93">
        <v>21</v>
      </c>
      <c r="AO1717" s="93">
        <f>H1717*0.915057592</f>
        <v>0</v>
      </c>
      <c r="AP1717" s="93">
        <f>H1717*(1-0.915057592)</f>
        <v>0</v>
      </c>
      <c r="AQ1717" s="94" t="s">
        <v>148</v>
      </c>
      <c r="AV1717" s="93">
        <f t="shared" si="295"/>
        <v>0</v>
      </c>
      <c r="AW1717" s="93">
        <f t="shared" si="296"/>
        <v>0</v>
      </c>
      <c r="AX1717" s="93">
        <f t="shared" si="297"/>
        <v>0</v>
      </c>
      <c r="AY1717" s="94" t="s">
        <v>2049</v>
      </c>
      <c r="AZ1717" s="94" t="s">
        <v>1915</v>
      </c>
      <c r="BA1717" s="88" t="s">
        <v>67</v>
      </c>
      <c r="BC1717" s="93">
        <f t="shared" si="298"/>
        <v>0</v>
      </c>
      <c r="BD1717" s="93">
        <f t="shared" si="299"/>
        <v>0</v>
      </c>
      <c r="BE1717" s="93">
        <v>0</v>
      </c>
      <c r="BF1717" s="93">
        <f t="shared" si="300"/>
        <v>9.7999999999999997E-3</v>
      </c>
      <c r="BH1717" s="93">
        <f t="shared" si="301"/>
        <v>0</v>
      </c>
      <c r="BI1717" s="93">
        <f t="shared" si="302"/>
        <v>0</v>
      </c>
      <c r="BJ1717" s="93">
        <f t="shared" si="303"/>
        <v>0</v>
      </c>
      <c r="BK1717" s="93"/>
      <c r="BL1717" s="93">
        <v>734</v>
      </c>
      <c r="BW1717" s="93" t="str">
        <f t="shared" si="304"/>
        <v>21</v>
      </c>
      <c r="BX1717" s="2" t="s">
        <v>2094</v>
      </c>
    </row>
    <row r="1718" spans="1:76" s="81" customFormat="1" ht="25.5" x14ac:dyDescent="0.25">
      <c r="A1718" s="66" t="s">
        <v>2098</v>
      </c>
      <c r="B1718" s="72" t="s">
        <v>55</v>
      </c>
      <c r="C1718" s="72" t="s">
        <v>2096</v>
      </c>
      <c r="D1718" s="174" t="s">
        <v>2097</v>
      </c>
      <c r="E1718" s="174"/>
      <c r="F1718" s="72" t="s">
        <v>203</v>
      </c>
      <c r="G1718" s="90">
        <v>22</v>
      </c>
      <c r="H1718" s="91"/>
      <c r="I1718" s="92" t="s">
        <v>63</v>
      </c>
      <c r="J1718" s="90">
        <f t="shared" si="279"/>
        <v>0</v>
      </c>
      <c r="K1718" s="90">
        <f t="shared" si="280"/>
        <v>0</v>
      </c>
      <c r="L1718" s="90">
        <f t="shared" si="281"/>
        <v>0</v>
      </c>
      <c r="M1718" s="90">
        <f t="shared" si="282"/>
        <v>0</v>
      </c>
      <c r="N1718" s="90">
        <v>4.4999999999999999E-4</v>
      </c>
      <c r="O1718" s="90">
        <f t="shared" si="283"/>
        <v>9.8999999999999991E-3</v>
      </c>
      <c r="P1718" s="92" t="s">
        <v>64</v>
      </c>
      <c r="Z1718" s="93">
        <f t="shared" si="284"/>
        <v>0</v>
      </c>
      <c r="AB1718" s="93">
        <f t="shared" si="285"/>
        <v>0</v>
      </c>
      <c r="AC1718" s="93">
        <f t="shared" si="286"/>
        <v>0</v>
      </c>
      <c r="AD1718" s="93">
        <f t="shared" si="287"/>
        <v>0</v>
      </c>
      <c r="AE1718" s="93">
        <f t="shared" si="288"/>
        <v>0</v>
      </c>
      <c r="AF1718" s="93">
        <f t="shared" si="289"/>
        <v>0</v>
      </c>
      <c r="AG1718" s="93">
        <f t="shared" si="290"/>
        <v>0</v>
      </c>
      <c r="AH1718" s="93">
        <f t="shared" si="291"/>
        <v>0</v>
      </c>
      <c r="AI1718" s="88" t="s">
        <v>55</v>
      </c>
      <c r="AJ1718" s="93">
        <f t="shared" si="292"/>
        <v>0</v>
      </c>
      <c r="AK1718" s="93">
        <f t="shared" si="293"/>
        <v>0</v>
      </c>
      <c r="AL1718" s="93">
        <f t="shared" si="294"/>
        <v>0</v>
      </c>
      <c r="AN1718" s="93">
        <v>21</v>
      </c>
      <c r="AO1718" s="93">
        <f>H1718*0.950804047</f>
        <v>0</v>
      </c>
      <c r="AP1718" s="93">
        <f>H1718*(1-0.950804047)</f>
        <v>0</v>
      </c>
      <c r="AQ1718" s="94" t="s">
        <v>148</v>
      </c>
      <c r="AV1718" s="93">
        <f t="shared" si="295"/>
        <v>0</v>
      </c>
      <c r="AW1718" s="93">
        <f t="shared" si="296"/>
        <v>0</v>
      </c>
      <c r="AX1718" s="93">
        <f t="shared" si="297"/>
        <v>0</v>
      </c>
      <c r="AY1718" s="94" t="s">
        <v>2049</v>
      </c>
      <c r="AZ1718" s="94" t="s">
        <v>1915</v>
      </c>
      <c r="BA1718" s="88" t="s">
        <v>67</v>
      </c>
      <c r="BC1718" s="93">
        <f t="shared" si="298"/>
        <v>0</v>
      </c>
      <c r="BD1718" s="93">
        <f t="shared" si="299"/>
        <v>0</v>
      </c>
      <c r="BE1718" s="93">
        <v>0</v>
      </c>
      <c r="BF1718" s="93">
        <f t="shared" si="300"/>
        <v>9.8999999999999991E-3</v>
      </c>
      <c r="BH1718" s="93">
        <f t="shared" si="301"/>
        <v>0</v>
      </c>
      <c r="BI1718" s="93">
        <f t="shared" si="302"/>
        <v>0</v>
      </c>
      <c r="BJ1718" s="93">
        <f t="shared" si="303"/>
        <v>0</v>
      </c>
      <c r="BK1718" s="93"/>
      <c r="BL1718" s="93">
        <v>734</v>
      </c>
      <c r="BW1718" s="93" t="str">
        <f t="shared" si="304"/>
        <v>21</v>
      </c>
      <c r="BX1718" s="2" t="s">
        <v>2097</v>
      </c>
    </row>
    <row r="1719" spans="1:76" s="81" customFormat="1" ht="25.5" x14ac:dyDescent="0.25">
      <c r="A1719" s="66" t="s">
        <v>2101</v>
      </c>
      <c r="B1719" s="72" t="s">
        <v>55</v>
      </c>
      <c r="C1719" s="72" t="s">
        <v>2099</v>
      </c>
      <c r="D1719" s="174" t="s">
        <v>2100</v>
      </c>
      <c r="E1719" s="174"/>
      <c r="F1719" s="72" t="s">
        <v>203</v>
      </c>
      <c r="G1719" s="90">
        <v>20</v>
      </c>
      <c r="H1719" s="91"/>
      <c r="I1719" s="92" t="s">
        <v>63</v>
      </c>
      <c r="J1719" s="90">
        <f t="shared" si="279"/>
        <v>0</v>
      </c>
      <c r="K1719" s="90">
        <f t="shared" si="280"/>
        <v>0</v>
      </c>
      <c r="L1719" s="90">
        <f t="shared" si="281"/>
        <v>0</v>
      </c>
      <c r="M1719" s="90">
        <f t="shared" si="282"/>
        <v>0</v>
      </c>
      <c r="N1719" s="90">
        <v>1.9000000000000001E-4</v>
      </c>
      <c r="O1719" s="90">
        <f t="shared" si="283"/>
        <v>3.8000000000000004E-3</v>
      </c>
      <c r="P1719" s="92" t="s">
        <v>64</v>
      </c>
      <c r="Z1719" s="93">
        <f t="shared" si="284"/>
        <v>0</v>
      </c>
      <c r="AB1719" s="93">
        <f t="shared" si="285"/>
        <v>0</v>
      </c>
      <c r="AC1719" s="93">
        <f t="shared" si="286"/>
        <v>0</v>
      </c>
      <c r="AD1719" s="93">
        <f t="shared" si="287"/>
        <v>0</v>
      </c>
      <c r="AE1719" s="93">
        <f t="shared" si="288"/>
        <v>0</v>
      </c>
      <c r="AF1719" s="93">
        <f t="shared" si="289"/>
        <v>0</v>
      </c>
      <c r="AG1719" s="93">
        <f t="shared" si="290"/>
        <v>0</v>
      </c>
      <c r="AH1719" s="93">
        <f t="shared" si="291"/>
        <v>0</v>
      </c>
      <c r="AI1719" s="88" t="s">
        <v>55</v>
      </c>
      <c r="AJ1719" s="93">
        <f t="shared" si="292"/>
        <v>0</v>
      </c>
      <c r="AK1719" s="93">
        <f t="shared" si="293"/>
        <v>0</v>
      </c>
      <c r="AL1719" s="93">
        <f t="shared" si="294"/>
        <v>0</v>
      </c>
      <c r="AN1719" s="93">
        <v>21</v>
      </c>
      <c r="AO1719" s="93">
        <f>H1719*0.831489423</f>
        <v>0</v>
      </c>
      <c r="AP1719" s="93">
        <f>H1719*(1-0.831489423)</f>
        <v>0</v>
      </c>
      <c r="AQ1719" s="94" t="s">
        <v>148</v>
      </c>
      <c r="AV1719" s="93">
        <f t="shared" si="295"/>
        <v>0</v>
      </c>
      <c r="AW1719" s="93">
        <f t="shared" si="296"/>
        <v>0</v>
      </c>
      <c r="AX1719" s="93">
        <f t="shared" si="297"/>
        <v>0</v>
      </c>
      <c r="AY1719" s="94" t="s">
        <v>2049</v>
      </c>
      <c r="AZ1719" s="94" t="s">
        <v>1915</v>
      </c>
      <c r="BA1719" s="88" t="s">
        <v>67</v>
      </c>
      <c r="BC1719" s="93">
        <f t="shared" si="298"/>
        <v>0</v>
      </c>
      <c r="BD1719" s="93">
        <f t="shared" si="299"/>
        <v>0</v>
      </c>
      <c r="BE1719" s="93">
        <v>0</v>
      </c>
      <c r="BF1719" s="93">
        <f t="shared" si="300"/>
        <v>3.8000000000000004E-3</v>
      </c>
      <c r="BH1719" s="93">
        <f t="shared" si="301"/>
        <v>0</v>
      </c>
      <c r="BI1719" s="93">
        <f t="shared" si="302"/>
        <v>0</v>
      </c>
      <c r="BJ1719" s="93">
        <f t="shared" si="303"/>
        <v>0</v>
      </c>
      <c r="BK1719" s="93"/>
      <c r="BL1719" s="93">
        <v>734</v>
      </c>
      <c r="BW1719" s="93" t="str">
        <f t="shared" si="304"/>
        <v>21</v>
      </c>
      <c r="BX1719" s="2" t="s">
        <v>2100</v>
      </c>
    </row>
    <row r="1720" spans="1:76" s="81" customFormat="1" ht="25.5" x14ac:dyDescent="0.25">
      <c r="A1720" s="66" t="s">
        <v>2104</v>
      </c>
      <c r="B1720" s="72" t="s">
        <v>55</v>
      </c>
      <c r="C1720" s="72" t="s">
        <v>2102</v>
      </c>
      <c r="D1720" s="174" t="s">
        <v>2103</v>
      </c>
      <c r="E1720" s="174"/>
      <c r="F1720" s="72" t="s">
        <v>203</v>
      </c>
      <c r="G1720" s="90">
        <v>3</v>
      </c>
      <c r="H1720" s="91"/>
      <c r="I1720" s="92" t="s">
        <v>63</v>
      </c>
      <c r="J1720" s="90">
        <f t="shared" si="279"/>
        <v>0</v>
      </c>
      <c r="K1720" s="90">
        <f t="shared" si="280"/>
        <v>0</v>
      </c>
      <c r="L1720" s="90">
        <f t="shared" si="281"/>
        <v>0</v>
      </c>
      <c r="M1720" s="90">
        <f t="shared" si="282"/>
        <v>0</v>
      </c>
      <c r="N1720" s="90">
        <v>3.8999999999999999E-4</v>
      </c>
      <c r="O1720" s="90">
        <f t="shared" si="283"/>
        <v>1.17E-3</v>
      </c>
      <c r="P1720" s="92" t="s">
        <v>64</v>
      </c>
      <c r="Z1720" s="93">
        <f t="shared" si="284"/>
        <v>0</v>
      </c>
      <c r="AB1720" s="93">
        <f t="shared" si="285"/>
        <v>0</v>
      </c>
      <c r="AC1720" s="93">
        <f t="shared" si="286"/>
        <v>0</v>
      </c>
      <c r="AD1720" s="93">
        <f t="shared" si="287"/>
        <v>0</v>
      </c>
      <c r="AE1720" s="93">
        <f t="shared" si="288"/>
        <v>0</v>
      </c>
      <c r="AF1720" s="93">
        <f t="shared" si="289"/>
        <v>0</v>
      </c>
      <c r="AG1720" s="93">
        <f t="shared" si="290"/>
        <v>0</v>
      </c>
      <c r="AH1720" s="93">
        <f t="shared" si="291"/>
        <v>0</v>
      </c>
      <c r="AI1720" s="88" t="s">
        <v>55</v>
      </c>
      <c r="AJ1720" s="93">
        <f t="shared" si="292"/>
        <v>0</v>
      </c>
      <c r="AK1720" s="93">
        <f t="shared" si="293"/>
        <v>0</v>
      </c>
      <c r="AL1720" s="93">
        <f t="shared" si="294"/>
        <v>0</v>
      </c>
      <c r="AN1720" s="93">
        <v>21</v>
      </c>
      <c r="AO1720" s="93">
        <f>H1720*0.819752705</f>
        <v>0</v>
      </c>
      <c r="AP1720" s="93">
        <f>H1720*(1-0.819752705)</f>
        <v>0</v>
      </c>
      <c r="AQ1720" s="94" t="s">
        <v>148</v>
      </c>
      <c r="AV1720" s="93">
        <f t="shared" si="295"/>
        <v>0</v>
      </c>
      <c r="AW1720" s="93">
        <f t="shared" si="296"/>
        <v>0</v>
      </c>
      <c r="AX1720" s="93">
        <f t="shared" si="297"/>
        <v>0</v>
      </c>
      <c r="AY1720" s="94" t="s">
        <v>2049</v>
      </c>
      <c r="AZ1720" s="94" t="s">
        <v>1915</v>
      </c>
      <c r="BA1720" s="88" t="s">
        <v>67</v>
      </c>
      <c r="BC1720" s="93">
        <f t="shared" si="298"/>
        <v>0</v>
      </c>
      <c r="BD1720" s="93">
        <f t="shared" si="299"/>
        <v>0</v>
      </c>
      <c r="BE1720" s="93">
        <v>0</v>
      </c>
      <c r="BF1720" s="93">
        <f t="shared" si="300"/>
        <v>1.17E-3</v>
      </c>
      <c r="BH1720" s="93">
        <f t="shared" si="301"/>
        <v>0</v>
      </c>
      <c r="BI1720" s="93">
        <f t="shared" si="302"/>
        <v>0</v>
      </c>
      <c r="BJ1720" s="93">
        <f t="shared" si="303"/>
        <v>0</v>
      </c>
      <c r="BK1720" s="93"/>
      <c r="BL1720" s="93">
        <v>734</v>
      </c>
      <c r="BW1720" s="93" t="str">
        <f t="shared" si="304"/>
        <v>21</v>
      </c>
      <c r="BX1720" s="2" t="s">
        <v>2103</v>
      </c>
    </row>
    <row r="1721" spans="1:76" s="81" customFormat="1" ht="25.5" x14ac:dyDescent="0.25">
      <c r="A1721" s="66" t="s">
        <v>2107</v>
      </c>
      <c r="B1721" s="72" t="s">
        <v>55</v>
      </c>
      <c r="C1721" s="72" t="s">
        <v>2105</v>
      </c>
      <c r="D1721" s="174" t="s">
        <v>2106</v>
      </c>
      <c r="E1721" s="174"/>
      <c r="F1721" s="72" t="s">
        <v>203</v>
      </c>
      <c r="G1721" s="90">
        <v>5</v>
      </c>
      <c r="H1721" s="91"/>
      <c r="I1721" s="92" t="s">
        <v>63</v>
      </c>
      <c r="J1721" s="90">
        <f t="shared" si="279"/>
        <v>0</v>
      </c>
      <c r="K1721" s="90">
        <f t="shared" si="280"/>
        <v>0</v>
      </c>
      <c r="L1721" s="90">
        <f t="shared" si="281"/>
        <v>0</v>
      </c>
      <c r="M1721" s="90">
        <f t="shared" si="282"/>
        <v>0</v>
      </c>
      <c r="N1721" s="90">
        <v>6.8000000000000005E-4</v>
      </c>
      <c r="O1721" s="90">
        <f t="shared" si="283"/>
        <v>3.4000000000000002E-3</v>
      </c>
      <c r="P1721" s="92" t="s">
        <v>64</v>
      </c>
      <c r="Z1721" s="93">
        <f t="shared" si="284"/>
        <v>0</v>
      </c>
      <c r="AB1721" s="93">
        <f t="shared" si="285"/>
        <v>0</v>
      </c>
      <c r="AC1721" s="93">
        <f t="shared" si="286"/>
        <v>0</v>
      </c>
      <c r="AD1721" s="93">
        <f t="shared" si="287"/>
        <v>0</v>
      </c>
      <c r="AE1721" s="93">
        <f t="shared" si="288"/>
        <v>0</v>
      </c>
      <c r="AF1721" s="93">
        <f t="shared" si="289"/>
        <v>0</v>
      </c>
      <c r="AG1721" s="93">
        <f t="shared" si="290"/>
        <v>0</v>
      </c>
      <c r="AH1721" s="93">
        <f t="shared" si="291"/>
        <v>0</v>
      </c>
      <c r="AI1721" s="88" t="s">
        <v>55</v>
      </c>
      <c r="AJ1721" s="93">
        <f t="shared" si="292"/>
        <v>0</v>
      </c>
      <c r="AK1721" s="93">
        <f t="shared" si="293"/>
        <v>0</v>
      </c>
      <c r="AL1721" s="93">
        <f t="shared" si="294"/>
        <v>0</v>
      </c>
      <c r="AN1721" s="93">
        <v>21</v>
      </c>
      <c r="AO1721" s="93">
        <f>H1721*0.843601651</f>
        <v>0</v>
      </c>
      <c r="AP1721" s="93">
        <f>H1721*(1-0.843601651)</f>
        <v>0</v>
      </c>
      <c r="AQ1721" s="94" t="s">
        <v>148</v>
      </c>
      <c r="AV1721" s="93">
        <f t="shared" si="295"/>
        <v>0</v>
      </c>
      <c r="AW1721" s="93">
        <f t="shared" si="296"/>
        <v>0</v>
      </c>
      <c r="AX1721" s="93">
        <f t="shared" si="297"/>
        <v>0</v>
      </c>
      <c r="AY1721" s="94" t="s">
        <v>2049</v>
      </c>
      <c r="AZ1721" s="94" t="s">
        <v>1915</v>
      </c>
      <c r="BA1721" s="88" t="s">
        <v>67</v>
      </c>
      <c r="BC1721" s="93">
        <f t="shared" si="298"/>
        <v>0</v>
      </c>
      <c r="BD1721" s="93">
        <f t="shared" si="299"/>
        <v>0</v>
      </c>
      <c r="BE1721" s="93">
        <v>0</v>
      </c>
      <c r="BF1721" s="93">
        <f t="shared" si="300"/>
        <v>3.4000000000000002E-3</v>
      </c>
      <c r="BH1721" s="93">
        <f t="shared" si="301"/>
        <v>0</v>
      </c>
      <c r="BI1721" s="93">
        <f t="shared" si="302"/>
        <v>0</v>
      </c>
      <c r="BJ1721" s="93">
        <f t="shared" si="303"/>
        <v>0</v>
      </c>
      <c r="BK1721" s="93"/>
      <c r="BL1721" s="93">
        <v>734</v>
      </c>
      <c r="BW1721" s="93" t="str">
        <f t="shared" si="304"/>
        <v>21</v>
      </c>
      <c r="BX1721" s="2" t="s">
        <v>2106</v>
      </c>
    </row>
    <row r="1722" spans="1:76" s="81" customFormat="1" ht="25.5" x14ac:dyDescent="0.25">
      <c r="A1722" s="66" t="s">
        <v>2110</v>
      </c>
      <c r="B1722" s="72" t="s">
        <v>55</v>
      </c>
      <c r="C1722" s="72" t="s">
        <v>2108</v>
      </c>
      <c r="D1722" s="174" t="s">
        <v>2109</v>
      </c>
      <c r="E1722" s="174"/>
      <c r="F1722" s="72" t="s">
        <v>203</v>
      </c>
      <c r="G1722" s="90">
        <v>14</v>
      </c>
      <c r="H1722" s="91"/>
      <c r="I1722" s="92" t="s">
        <v>63</v>
      </c>
      <c r="J1722" s="90">
        <f t="shared" si="279"/>
        <v>0</v>
      </c>
      <c r="K1722" s="90">
        <f t="shared" si="280"/>
        <v>0</v>
      </c>
      <c r="L1722" s="90">
        <f t="shared" si="281"/>
        <v>0</v>
      </c>
      <c r="M1722" s="90">
        <f t="shared" si="282"/>
        <v>0</v>
      </c>
      <c r="N1722" s="90">
        <v>1.0399999999999999E-3</v>
      </c>
      <c r="O1722" s="90">
        <f t="shared" si="283"/>
        <v>1.4559999999999998E-2</v>
      </c>
      <c r="P1722" s="92" t="s">
        <v>64</v>
      </c>
      <c r="Z1722" s="93">
        <f t="shared" si="284"/>
        <v>0</v>
      </c>
      <c r="AB1722" s="93">
        <f t="shared" si="285"/>
        <v>0</v>
      </c>
      <c r="AC1722" s="93">
        <f t="shared" si="286"/>
        <v>0</v>
      </c>
      <c r="AD1722" s="93">
        <f t="shared" si="287"/>
        <v>0</v>
      </c>
      <c r="AE1722" s="93">
        <f t="shared" si="288"/>
        <v>0</v>
      </c>
      <c r="AF1722" s="93">
        <f t="shared" si="289"/>
        <v>0</v>
      </c>
      <c r="AG1722" s="93">
        <f t="shared" si="290"/>
        <v>0</v>
      </c>
      <c r="AH1722" s="93">
        <f t="shared" si="291"/>
        <v>0</v>
      </c>
      <c r="AI1722" s="88" t="s">
        <v>55</v>
      </c>
      <c r="AJ1722" s="93">
        <f t="shared" si="292"/>
        <v>0</v>
      </c>
      <c r="AK1722" s="93">
        <f t="shared" si="293"/>
        <v>0</v>
      </c>
      <c r="AL1722" s="93">
        <f t="shared" si="294"/>
        <v>0</v>
      </c>
      <c r="AN1722" s="93">
        <v>21</v>
      </c>
      <c r="AO1722" s="93">
        <f>H1722*0.859239436</f>
        <v>0</v>
      </c>
      <c r="AP1722" s="93">
        <f>H1722*(1-0.859239436)</f>
        <v>0</v>
      </c>
      <c r="AQ1722" s="94" t="s">
        <v>148</v>
      </c>
      <c r="AV1722" s="93">
        <f t="shared" si="295"/>
        <v>0</v>
      </c>
      <c r="AW1722" s="93">
        <f t="shared" si="296"/>
        <v>0</v>
      </c>
      <c r="AX1722" s="93">
        <f t="shared" si="297"/>
        <v>0</v>
      </c>
      <c r="AY1722" s="94" t="s">
        <v>2049</v>
      </c>
      <c r="AZ1722" s="94" t="s">
        <v>1915</v>
      </c>
      <c r="BA1722" s="88" t="s">
        <v>67</v>
      </c>
      <c r="BC1722" s="93">
        <f t="shared" si="298"/>
        <v>0</v>
      </c>
      <c r="BD1722" s="93">
        <f t="shared" si="299"/>
        <v>0</v>
      </c>
      <c r="BE1722" s="93">
        <v>0</v>
      </c>
      <c r="BF1722" s="93">
        <f t="shared" si="300"/>
        <v>1.4559999999999998E-2</v>
      </c>
      <c r="BH1722" s="93">
        <f t="shared" si="301"/>
        <v>0</v>
      </c>
      <c r="BI1722" s="93">
        <f t="shared" si="302"/>
        <v>0</v>
      </c>
      <c r="BJ1722" s="93">
        <f t="shared" si="303"/>
        <v>0</v>
      </c>
      <c r="BK1722" s="93"/>
      <c r="BL1722" s="93">
        <v>734</v>
      </c>
      <c r="BW1722" s="93" t="str">
        <f t="shared" si="304"/>
        <v>21</v>
      </c>
      <c r="BX1722" s="2" t="s">
        <v>2109</v>
      </c>
    </row>
    <row r="1723" spans="1:76" s="81" customFormat="1" ht="25.5" x14ac:dyDescent="0.25">
      <c r="A1723" s="66" t="s">
        <v>2113</v>
      </c>
      <c r="B1723" s="72" t="s">
        <v>55</v>
      </c>
      <c r="C1723" s="72" t="s">
        <v>2111</v>
      </c>
      <c r="D1723" s="174" t="s">
        <v>2112</v>
      </c>
      <c r="E1723" s="174"/>
      <c r="F1723" s="72" t="s">
        <v>203</v>
      </c>
      <c r="G1723" s="90">
        <v>6</v>
      </c>
      <c r="H1723" s="91"/>
      <c r="I1723" s="92" t="s">
        <v>63</v>
      </c>
      <c r="J1723" s="90">
        <f t="shared" si="279"/>
        <v>0</v>
      </c>
      <c r="K1723" s="90">
        <f t="shared" si="280"/>
        <v>0</v>
      </c>
      <c r="L1723" s="90">
        <f t="shared" si="281"/>
        <v>0</v>
      </c>
      <c r="M1723" s="90">
        <f t="shared" si="282"/>
        <v>0</v>
      </c>
      <c r="N1723" s="90">
        <v>1.6299999999999999E-3</v>
      </c>
      <c r="O1723" s="90">
        <f t="shared" si="283"/>
        <v>9.7800000000000005E-3</v>
      </c>
      <c r="P1723" s="92" t="s">
        <v>64</v>
      </c>
      <c r="Z1723" s="93">
        <f t="shared" si="284"/>
        <v>0</v>
      </c>
      <c r="AB1723" s="93">
        <f t="shared" si="285"/>
        <v>0</v>
      </c>
      <c r="AC1723" s="93">
        <f t="shared" si="286"/>
        <v>0</v>
      </c>
      <c r="AD1723" s="93">
        <f t="shared" si="287"/>
        <v>0</v>
      </c>
      <c r="AE1723" s="93">
        <f t="shared" si="288"/>
        <v>0</v>
      </c>
      <c r="AF1723" s="93">
        <f t="shared" si="289"/>
        <v>0</v>
      </c>
      <c r="AG1723" s="93">
        <f t="shared" si="290"/>
        <v>0</v>
      </c>
      <c r="AH1723" s="93">
        <f t="shared" si="291"/>
        <v>0</v>
      </c>
      <c r="AI1723" s="88" t="s">
        <v>55</v>
      </c>
      <c r="AJ1723" s="93">
        <f t="shared" si="292"/>
        <v>0</v>
      </c>
      <c r="AK1723" s="93">
        <f t="shared" si="293"/>
        <v>0</v>
      </c>
      <c r="AL1723" s="93">
        <f t="shared" si="294"/>
        <v>0</v>
      </c>
      <c r="AN1723" s="93">
        <v>21</v>
      </c>
      <c r="AO1723" s="93">
        <f>H1723*0.885429257</f>
        <v>0</v>
      </c>
      <c r="AP1723" s="93">
        <f>H1723*(1-0.885429257)</f>
        <v>0</v>
      </c>
      <c r="AQ1723" s="94" t="s">
        <v>148</v>
      </c>
      <c r="AV1723" s="93">
        <f t="shared" si="295"/>
        <v>0</v>
      </c>
      <c r="AW1723" s="93">
        <f t="shared" si="296"/>
        <v>0</v>
      </c>
      <c r="AX1723" s="93">
        <f t="shared" si="297"/>
        <v>0</v>
      </c>
      <c r="AY1723" s="94" t="s">
        <v>2049</v>
      </c>
      <c r="AZ1723" s="94" t="s">
        <v>1915</v>
      </c>
      <c r="BA1723" s="88" t="s">
        <v>67</v>
      </c>
      <c r="BC1723" s="93">
        <f t="shared" si="298"/>
        <v>0</v>
      </c>
      <c r="BD1723" s="93">
        <f t="shared" si="299"/>
        <v>0</v>
      </c>
      <c r="BE1723" s="93">
        <v>0</v>
      </c>
      <c r="BF1723" s="93">
        <f t="shared" si="300"/>
        <v>9.7800000000000005E-3</v>
      </c>
      <c r="BH1723" s="93">
        <f t="shared" si="301"/>
        <v>0</v>
      </c>
      <c r="BI1723" s="93">
        <f t="shared" si="302"/>
        <v>0</v>
      </c>
      <c r="BJ1723" s="93">
        <f t="shared" si="303"/>
        <v>0</v>
      </c>
      <c r="BK1723" s="93"/>
      <c r="BL1723" s="93">
        <v>734</v>
      </c>
      <c r="BW1723" s="93" t="str">
        <f t="shared" si="304"/>
        <v>21</v>
      </c>
      <c r="BX1723" s="2" t="s">
        <v>2112</v>
      </c>
    </row>
    <row r="1724" spans="1:76" s="81" customFormat="1" ht="25.5" x14ac:dyDescent="0.25">
      <c r="A1724" s="66" t="s">
        <v>2116</v>
      </c>
      <c r="B1724" s="72" t="s">
        <v>55</v>
      </c>
      <c r="C1724" s="72" t="s">
        <v>2114</v>
      </c>
      <c r="D1724" s="174" t="s">
        <v>2115</v>
      </c>
      <c r="E1724" s="174"/>
      <c r="F1724" s="72" t="s">
        <v>203</v>
      </c>
      <c r="G1724" s="90">
        <v>1</v>
      </c>
      <c r="H1724" s="91"/>
      <c r="I1724" s="92" t="s">
        <v>63</v>
      </c>
      <c r="J1724" s="90">
        <f t="shared" si="279"/>
        <v>0</v>
      </c>
      <c r="K1724" s="90">
        <f t="shared" si="280"/>
        <v>0</v>
      </c>
      <c r="L1724" s="90">
        <f t="shared" si="281"/>
        <v>0</v>
      </c>
      <c r="M1724" s="90">
        <f t="shared" si="282"/>
        <v>0</v>
      </c>
      <c r="N1724" s="90">
        <v>5.5999999999999995E-4</v>
      </c>
      <c r="O1724" s="90">
        <f t="shared" si="283"/>
        <v>5.5999999999999995E-4</v>
      </c>
      <c r="P1724" s="92" t="s">
        <v>64</v>
      </c>
      <c r="Z1724" s="93">
        <f t="shared" si="284"/>
        <v>0</v>
      </c>
      <c r="AB1724" s="93">
        <f t="shared" si="285"/>
        <v>0</v>
      </c>
      <c r="AC1724" s="93">
        <f t="shared" si="286"/>
        <v>0</v>
      </c>
      <c r="AD1724" s="93">
        <f t="shared" si="287"/>
        <v>0</v>
      </c>
      <c r="AE1724" s="93">
        <f t="shared" si="288"/>
        <v>0</v>
      </c>
      <c r="AF1724" s="93">
        <f t="shared" si="289"/>
        <v>0</v>
      </c>
      <c r="AG1724" s="93">
        <f t="shared" si="290"/>
        <v>0</v>
      </c>
      <c r="AH1724" s="93">
        <f t="shared" si="291"/>
        <v>0</v>
      </c>
      <c r="AI1724" s="88" t="s">
        <v>55</v>
      </c>
      <c r="AJ1724" s="93">
        <f t="shared" si="292"/>
        <v>0</v>
      </c>
      <c r="AK1724" s="93">
        <f t="shared" si="293"/>
        <v>0</v>
      </c>
      <c r="AL1724" s="93">
        <f t="shared" si="294"/>
        <v>0</v>
      </c>
      <c r="AN1724" s="93">
        <v>21</v>
      </c>
      <c r="AO1724" s="93">
        <f>H1724*0.815632603</f>
        <v>0</v>
      </c>
      <c r="AP1724" s="93">
        <f>H1724*(1-0.815632603)</f>
        <v>0</v>
      </c>
      <c r="AQ1724" s="94" t="s">
        <v>148</v>
      </c>
      <c r="AV1724" s="93">
        <f t="shared" si="295"/>
        <v>0</v>
      </c>
      <c r="AW1724" s="93">
        <f t="shared" si="296"/>
        <v>0</v>
      </c>
      <c r="AX1724" s="93">
        <f t="shared" si="297"/>
        <v>0</v>
      </c>
      <c r="AY1724" s="94" t="s">
        <v>2049</v>
      </c>
      <c r="AZ1724" s="94" t="s">
        <v>1915</v>
      </c>
      <c r="BA1724" s="88" t="s">
        <v>67</v>
      </c>
      <c r="BC1724" s="93">
        <f t="shared" si="298"/>
        <v>0</v>
      </c>
      <c r="BD1724" s="93">
        <f t="shared" si="299"/>
        <v>0</v>
      </c>
      <c r="BE1724" s="93">
        <v>0</v>
      </c>
      <c r="BF1724" s="93">
        <f t="shared" si="300"/>
        <v>5.5999999999999995E-4</v>
      </c>
      <c r="BH1724" s="93">
        <f t="shared" si="301"/>
        <v>0</v>
      </c>
      <c r="BI1724" s="93">
        <f t="shared" si="302"/>
        <v>0</v>
      </c>
      <c r="BJ1724" s="93">
        <f t="shared" si="303"/>
        <v>0</v>
      </c>
      <c r="BK1724" s="93"/>
      <c r="BL1724" s="93">
        <v>734</v>
      </c>
      <c r="BW1724" s="93" t="str">
        <f t="shared" si="304"/>
        <v>21</v>
      </c>
      <c r="BX1724" s="2" t="s">
        <v>2115</v>
      </c>
    </row>
    <row r="1725" spans="1:76" s="81" customFormat="1" ht="25.5" x14ac:dyDescent="0.25">
      <c r="A1725" s="66" t="s">
        <v>2119</v>
      </c>
      <c r="B1725" s="72" t="s">
        <v>55</v>
      </c>
      <c r="C1725" s="72" t="s">
        <v>2117</v>
      </c>
      <c r="D1725" s="174" t="s">
        <v>2118</v>
      </c>
      <c r="E1725" s="174"/>
      <c r="F1725" s="72" t="s">
        <v>203</v>
      </c>
      <c r="G1725" s="90">
        <v>5</v>
      </c>
      <c r="H1725" s="91"/>
      <c r="I1725" s="92" t="s">
        <v>63</v>
      </c>
      <c r="J1725" s="90">
        <f t="shared" si="279"/>
        <v>0</v>
      </c>
      <c r="K1725" s="90">
        <f t="shared" si="280"/>
        <v>0</v>
      </c>
      <c r="L1725" s="90">
        <f t="shared" si="281"/>
        <v>0</v>
      </c>
      <c r="M1725" s="90">
        <f t="shared" si="282"/>
        <v>0</v>
      </c>
      <c r="N1725" s="90">
        <v>1.1999999999999999E-3</v>
      </c>
      <c r="O1725" s="90">
        <f t="shared" si="283"/>
        <v>5.9999999999999993E-3</v>
      </c>
      <c r="P1725" s="92" t="s">
        <v>64</v>
      </c>
      <c r="Z1725" s="93">
        <f t="shared" si="284"/>
        <v>0</v>
      </c>
      <c r="AB1725" s="93">
        <f t="shared" si="285"/>
        <v>0</v>
      </c>
      <c r="AC1725" s="93">
        <f t="shared" si="286"/>
        <v>0</v>
      </c>
      <c r="AD1725" s="93">
        <f t="shared" si="287"/>
        <v>0</v>
      </c>
      <c r="AE1725" s="93">
        <f t="shared" si="288"/>
        <v>0</v>
      </c>
      <c r="AF1725" s="93">
        <f t="shared" si="289"/>
        <v>0</v>
      </c>
      <c r="AG1725" s="93">
        <f t="shared" si="290"/>
        <v>0</v>
      </c>
      <c r="AH1725" s="93">
        <f t="shared" si="291"/>
        <v>0</v>
      </c>
      <c r="AI1725" s="88" t="s">
        <v>55</v>
      </c>
      <c r="AJ1725" s="93">
        <f t="shared" si="292"/>
        <v>0</v>
      </c>
      <c r="AK1725" s="93">
        <f t="shared" si="293"/>
        <v>0</v>
      </c>
      <c r="AL1725" s="93">
        <f t="shared" si="294"/>
        <v>0</v>
      </c>
      <c r="AN1725" s="93">
        <v>21</v>
      </c>
      <c r="AO1725" s="93">
        <f>H1725*0.795059119</f>
        <v>0</v>
      </c>
      <c r="AP1725" s="93">
        <f>H1725*(1-0.795059119)</f>
        <v>0</v>
      </c>
      <c r="AQ1725" s="94" t="s">
        <v>148</v>
      </c>
      <c r="AV1725" s="93">
        <f t="shared" si="295"/>
        <v>0</v>
      </c>
      <c r="AW1725" s="93">
        <f t="shared" si="296"/>
        <v>0</v>
      </c>
      <c r="AX1725" s="93">
        <f t="shared" si="297"/>
        <v>0</v>
      </c>
      <c r="AY1725" s="94" t="s">
        <v>2049</v>
      </c>
      <c r="AZ1725" s="94" t="s">
        <v>1915</v>
      </c>
      <c r="BA1725" s="88" t="s">
        <v>67</v>
      </c>
      <c r="BC1725" s="93">
        <f t="shared" si="298"/>
        <v>0</v>
      </c>
      <c r="BD1725" s="93">
        <f t="shared" si="299"/>
        <v>0</v>
      </c>
      <c r="BE1725" s="93">
        <v>0</v>
      </c>
      <c r="BF1725" s="93">
        <f t="shared" si="300"/>
        <v>5.9999999999999993E-3</v>
      </c>
      <c r="BH1725" s="93">
        <f t="shared" si="301"/>
        <v>0</v>
      </c>
      <c r="BI1725" s="93">
        <f t="shared" si="302"/>
        <v>0</v>
      </c>
      <c r="BJ1725" s="93">
        <f t="shared" si="303"/>
        <v>0</v>
      </c>
      <c r="BK1725" s="93"/>
      <c r="BL1725" s="93">
        <v>734</v>
      </c>
      <c r="BW1725" s="93" t="str">
        <f t="shared" si="304"/>
        <v>21</v>
      </c>
      <c r="BX1725" s="2" t="s">
        <v>2118</v>
      </c>
    </row>
    <row r="1726" spans="1:76" s="81" customFormat="1" ht="25.5" x14ac:dyDescent="0.25">
      <c r="A1726" s="66" t="s">
        <v>2122</v>
      </c>
      <c r="B1726" s="72" t="s">
        <v>55</v>
      </c>
      <c r="C1726" s="72" t="s">
        <v>2120</v>
      </c>
      <c r="D1726" s="174" t="s">
        <v>2121</v>
      </c>
      <c r="E1726" s="174"/>
      <c r="F1726" s="72" t="s">
        <v>203</v>
      </c>
      <c r="G1726" s="90">
        <v>1</v>
      </c>
      <c r="H1726" s="91"/>
      <c r="I1726" s="92" t="s">
        <v>63</v>
      </c>
      <c r="J1726" s="90">
        <f t="shared" si="279"/>
        <v>0</v>
      </c>
      <c r="K1726" s="90">
        <f t="shared" si="280"/>
        <v>0</v>
      </c>
      <c r="L1726" s="90">
        <f t="shared" si="281"/>
        <v>0</v>
      </c>
      <c r="M1726" s="90">
        <f t="shared" si="282"/>
        <v>0</v>
      </c>
      <c r="N1726" s="90">
        <v>1.6999999999999999E-3</v>
      </c>
      <c r="O1726" s="90">
        <f t="shared" si="283"/>
        <v>1.6999999999999999E-3</v>
      </c>
      <c r="P1726" s="92" t="s">
        <v>64</v>
      </c>
      <c r="Z1726" s="93">
        <f t="shared" si="284"/>
        <v>0</v>
      </c>
      <c r="AB1726" s="93">
        <f t="shared" si="285"/>
        <v>0</v>
      </c>
      <c r="AC1726" s="93">
        <f t="shared" si="286"/>
        <v>0</v>
      </c>
      <c r="AD1726" s="93">
        <f t="shared" si="287"/>
        <v>0</v>
      </c>
      <c r="AE1726" s="93">
        <f t="shared" si="288"/>
        <v>0</v>
      </c>
      <c r="AF1726" s="93">
        <f t="shared" si="289"/>
        <v>0</v>
      </c>
      <c r="AG1726" s="93">
        <f t="shared" si="290"/>
        <v>0</v>
      </c>
      <c r="AH1726" s="93">
        <f t="shared" si="291"/>
        <v>0</v>
      </c>
      <c r="AI1726" s="88" t="s">
        <v>55</v>
      </c>
      <c r="AJ1726" s="93">
        <f t="shared" si="292"/>
        <v>0</v>
      </c>
      <c r="AK1726" s="93">
        <f t="shared" si="293"/>
        <v>0</v>
      </c>
      <c r="AL1726" s="93">
        <f t="shared" si="294"/>
        <v>0</v>
      </c>
      <c r="AN1726" s="93">
        <v>21</v>
      </c>
      <c r="AO1726" s="93">
        <f>H1726*0.854163614</f>
        <v>0</v>
      </c>
      <c r="AP1726" s="93">
        <f>H1726*(1-0.854163614)</f>
        <v>0</v>
      </c>
      <c r="AQ1726" s="94" t="s">
        <v>148</v>
      </c>
      <c r="AV1726" s="93">
        <f t="shared" si="295"/>
        <v>0</v>
      </c>
      <c r="AW1726" s="93">
        <f t="shared" si="296"/>
        <v>0</v>
      </c>
      <c r="AX1726" s="93">
        <f t="shared" si="297"/>
        <v>0</v>
      </c>
      <c r="AY1726" s="94" t="s">
        <v>2049</v>
      </c>
      <c r="AZ1726" s="94" t="s">
        <v>1915</v>
      </c>
      <c r="BA1726" s="88" t="s">
        <v>67</v>
      </c>
      <c r="BC1726" s="93">
        <f t="shared" si="298"/>
        <v>0</v>
      </c>
      <c r="BD1726" s="93">
        <f t="shared" si="299"/>
        <v>0</v>
      </c>
      <c r="BE1726" s="93">
        <v>0</v>
      </c>
      <c r="BF1726" s="93">
        <f t="shared" si="300"/>
        <v>1.6999999999999999E-3</v>
      </c>
      <c r="BH1726" s="93">
        <f t="shared" si="301"/>
        <v>0</v>
      </c>
      <c r="BI1726" s="93">
        <f t="shared" si="302"/>
        <v>0</v>
      </c>
      <c r="BJ1726" s="93">
        <f t="shared" si="303"/>
        <v>0</v>
      </c>
      <c r="BK1726" s="93"/>
      <c r="BL1726" s="93">
        <v>734</v>
      </c>
      <c r="BW1726" s="93" t="str">
        <f t="shared" si="304"/>
        <v>21</v>
      </c>
      <c r="BX1726" s="2" t="s">
        <v>2121</v>
      </c>
    </row>
    <row r="1727" spans="1:76" s="81" customFormat="1" ht="25.5" x14ac:dyDescent="0.25">
      <c r="A1727" s="66" t="s">
        <v>2125</v>
      </c>
      <c r="B1727" s="72" t="s">
        <v>55</v>
      </c>
      <c r="C1727" s="72" t="s">
        <v>2123</v>
      </c>
      <c r="D1727" s="174" t="s">
        <v>2124</v>
      </c>
      <c r="E1727" s="174"/>
      <c r="F1727" s="72" t="s">
        <v>203</v>
      </c>
      <c r="G1727" s="90">
        <v>1</v>
      </c>
      <c r="H1727" s="91"/>
      <c r="I1727" s="92" t="s">
        <v>63</v>
      </c>
      <c r="J1727" s="90">
        <f t="shared" si="279"/>
        <v>0</v>
      </c>
      <c r="K1727" s="90">
        <f t="shared" si="280"/>
        <v>0</v>
      </c>
      <c r="L1727" s="90">
        <f t="shared" si="281"/>
        <v>0</v>
      </c>
      <c r="M1727" s="90">
        <f t="shared" si="282"/>
        <v>0</v>
      </c>
      <c r="N1727" s="90">
        <v>6.4400000000000004E-3</v>
      </c>
      <c r="O1727" s="90">
        <f t="shared" si="283"/>
        <v>6.4400000000000004E-3</v>
      </c>
      <c r="P1727" s="92" t="s">
        <v>371</v>
      </c>
      <c r="Z1727" s="93">
        <f t="shared" si="284"/>
        <v>0</v>
      </c>
      <c r="AB1727" s="93">
        <f t="shared" si="285"/>
        <v>0</v>
      </c>
      <c r="AC1727" s="93">
        <f t="shared" si="286"/>
        <v>0</v>
      </c>
      <c r="AD1727" s="93">
        <f t="shared" si="287"/>
        <v>0</v>
      </c>
      <c r="AE1727" s="93">
        <f t="shared" si="288"/>
        <v>0</v>
      </c>
      <c r="AF1727" s="93">
        <f t="shared" si="289"/>
        <v>0</v>
      </c>
      <c r="AG1727" s="93">
        <f t="shared" si="290"/>
        <v>0</v>
      </c>
      <c r="AH1727" s="93">
        <f t="shared" si="291"/>
        <v>0</v>
      </c>
      <c r="AI1727" s="88" t="s">
        <v>55</v>
      </c>
      <c r="AJ1727" s="93">
        <f t="shared" si="292"/>
        <v>0</v>
      </c>
      <c r="AK1727" s="93">
        <f t="shared" si="293"/>
        <v>0</v>
      </c>
      <c r="AL1727" s="93">
        <f t="shared" si="294"/>
        <v>0</v>
      </c>
      <c r="AN1727" s="93">
        <v>21</v>
      </c>
      <c r="AO1727" s="93">
        <f>H1727*0.936221165</f>
        <v>0</v>
      </c>
      <c r="AP1727" s="93">
        <f>H1727*(1-0.936221165)</f>
        <v>0</v>
      </c>
      <c r="AQ1727" s="94" t="s">
        <v>148</v>
      </c>
      <c r="AV1727" s="93">
        <f t="shared" si="295"/>
        <v>0</v>
      </c>
      <c r="AW1727" s="93">
        <f t="shared" si="296"/>
        <v>0</v>
      </c>
      <c r="AX1727" s="93">
        <f t="shared" si="297"/>
        <v>0</v>
      </c>
      <c r="AY1727" s="94" t="s">
        <v>2049</v>
      </c>
      <c r="AZ1727" s="94" t="s">
        <v>1915</v>
      </c>
      <c r="BA1727" s="88" t="s">
        <v>67</v>
      </c>
      <c r="BC1727" s="93">
        <f t="shared" si="298"/>
        <v>0</v>
      </c>
      <c r="BD1727" s="93">
        <f t="shared" si="299"/>
        <v>0</v>
      </c>
      <c r="BE1727" s="93">
        <v>0</v>
      </c>
      <c r="BF1727" s="93">
        <f t="shared" si="300"/>
        <v>6.4400000000000004E-3</v>
      </c>
      <c r="BH1727" s="93">
        <f t="shared" si="301"/>
        <v>0</v>
      </c>
      <c r="BI1727" s="93">
        <f t="shared" si="302"/>
        <v>0</v>
      </c>
      <c r="BJ1727" s="93">
        <f t="shared" si="303"/>
        <v>0</v>
      </c>
      <c r="BK1727" s="93"/>
      <c r="BL1727" s="93">
        <v>734</v>
      </c>
      <c r="BW1727" s="93" t="str">
        <f t="shared" si="304"/>
        <v>21</v>
      </c>
      <c r="BX1727" s="2" t="s">
        <v>2124</v>
      </c>
    </row>
    <row r="1728" spans="1:76" s="81" customFormat="1" ht="25.5" x14ac:dyDescent="0.25">
      <c r="A1728" s="66" t="s">
        <v>2128</v>
      </c>
      <c r="B1728" s="72" t="s">
        <v>55</v>
      </c>
      <c r="C1728" s="72" t="s">
        <v>2126</v>
      </c>
      <c r="D1728" s="174" t="s">
        <v>2127</v>
      </c>
      <c r="E1728" s="174"/>
      <c r="F1728" s="72" t="s">
        <v>1447</v>
      </c>
      <c r="G1728" s="91"/>
      <c r="H1728" s="91"/>
      <c r="I1728" s="92" t="s">
        <v>63</v>
      </c>
      <c r="J1728" s="90">
        <f t="shared" si="279"/>
        <v>0</v>
      </c>
      <c r="K1728" s="90">
        <f t="shared" si="280"/>
        <v>0</v>
      </c>
      <c r="L1728" s="90">
        <f t="shared" si="281"/>
        <v>0</v>
      </c>
      <c r="M1728" s="90">
        <f t="shared" si="282"/>
        <v>0</v>
      </c>
      <c r="N1728" s="90">
        <v>0</v>
      </c>
      <c r="O1728" s="90">
        <f t="shared" si="283"/>
        <v>0</v>
      </c>
      <c r="P1728" s="92" t="s">
        <v>64</v>
      </c>
      <c r="Z1728" s="93">
        <f t="shared" si="284"/>
        <v>0</v>
      </c>
      <c r="AB1728" s="93">
        <f t="shared" si="285"/>
        <v>0</v>
      </c>
      <c r="AC1728" s="93">
        <f t="shared" si="286"/>
        <v>0</v>
      </c>
      <c r="AD1728" s="93">
        <f t="shared" si="287"/>
        <v>0</v>
      </c>
      <c r="AE1728" s="93">
        <f t="shared" si="288"/>
        <v>0</v>
      </c>
      <c r="AF1728" s="93">
        <f t="shared" si="289"/>
        <v>0</v>
      </c>
      <c r="AG1728" s="93">
        <f t="shared" si="290"/>
        <v>0</v>
      </c>
      <c r="AH1728" s="93">
        <f t="shared" si="291"/>
        <v>0</v>
      </c>
      <c r="AI1728" s="88" t="s">
        <v>55</v>
      </c>
      <c r="AJ1728" s="93">
        <f t="shared" si="292"/>
        <v>0</v>
      </c>
      <c r="AK1728" s="93">
        <f t="shared" si="293"/>
        <v>0</v>
      </c>
      <c r="AL1728" s="93">
        <f t="shared" si="294"/>
        <v>0</v>
      </c>
      <c r="AN1728" s="93">
        <v>21</v>
      </c>
      <c r="AO1728" s="93">
        <f>H1728*0</f>
        <v>0</v>
      </c>
      <c r="AP1728" s="93">
        <f>H1728*(1-0)</f>
        <v>0</v>
      </c>
      <c r="AQ1728" s="94" t="s">
        <v>136</v>
      </c>
      <c r="AV1728" s="93">
        <f t="shared" si="295"/>
        <v>0</v>
      </c>
      <c r="AW1728" s="93">
        <f t="shared" si="296"/>
        <v>0</v>
      </c>
      <c r="AX1728" s="93">
        <f t="shared" si="297"/>
        <v>0</v>
      </c>
      <c r="AY1728" s="94" t="s">
        <v>2049</v>
      </c>
      <c r="AZ1728" s="94" t="s">
        <v>1915</v>
      </c>
      <c r="BA1728" s="88" t="s">
        <v>67</v>
      </c>
      <c r="BC1728" s="93">
        <f t="shared" si="298"/>
        <v>0</v>
      </c>
      <c r="BD1728" s="93">
        <f t="shared" si="299"/>
        <v>0</v>
      </c>
      <c r="BE1728" s="93">
        <v>0</v>
      </c>
      <c r="BF1728" s="93">
        <f t="shared" si="300"/>
        <v>0</v>
      </c>
      <c r="BH1728" s="93">
        <f t="shared" si="301"/>
        <v>0</v>
      </c>
      <c r="BI1728" s="93">
        <f t="shared" si="302"/>
        <v>0</v>
      </c>
      <c r="BJ1728" s="93">
        <f t="shared" si="303"/>
        <v>0</v>
      </c>
      <c r="BK1728" s="93"/>
      <c r="BL1728" s="93">
        <v>734</v>
      </c>
      <c r="BW1728" s="93" t="str">
        <f t="shared" si="304"/>
        <v>21</v>
      </c>
      <c r="BX1728" s="2" t="s">
        <v>2127</v>
      </c>
    </row>
    <row r="1729" spans="1:76" s="81" customFormat="1" ht="25.5" x14ac:dyDescent="0.25">
      <c r="A1729" s="66" t="s">
        <v>2133</v>
      </c>
      <c r="B1729" s="72" t="s">
        <v>55</v>
      </c>
      <c r="C1729" s="72" t="s">
        <v>2129</v>
      </c>
      <c r="D1729" s="174" t="s">
        <v>2130</v>
      </c>
      <c r="E1729" s="174"/>
      <c r="F1729" s="72" t="s">
        <v>1332</v>
      </c>
      <c r="G1729" s="90">
        <v>1</v>
      </c>
      <c r="H1729" s="91"/>
      <c r="I1729" s="92" t="s">
        <v>63</v>
      </c>
      <c r="J1729" s="90">
        <f t="shared" si="279"/>
        <v>0</v>
      </c>
      <c r="K1729" s="90">
        <f t="shared" si="280"/>
        <v>0</v>
      </c>
      <c r="L1729" s="90">
        <f t="shared" si="281"/>
        <v>0</v>
      </c>
      <c r="M1729" s="90">
        <f t="shared" si="282"/>
        <v>0</v>
      </c>
      <c r="N1729" s="90">
        <v>4.6000000000000001E-4</v>
      </c>
      <c r="O1729" s="90">
        <f t="shared" si="283"/>
        <v>4.6000000000000001E-4</v>
      </c>
      <c r="P1729" s="92" t="s">
        <v>64</v>
      </c>
      <c r="Z1729" s="93">
        <f t="shared" si="284"/>
        <v>0</v>
      </c>
      <c r="AB1729" s="93">
        <f t="shared" si="285"/>
        <v>0</v>
      </c>
      <c r="AC1729" s="93">
        <f t="shared" si="286"/>
        <v>0</v>
      </c>
      <c r="AD1729" s="93">
        <f t="shared" si="287"/>
        <v>0</v>
      </c>
      <c r="AE1729" s="93">
        <f t="shared" si="288"/>
        <v>0</v>
      </c>
      <c r="AF1729" s="93">
        <f t="shared" si="289"/>
        <v>0</v>
      </c>
      <c r="AG1729" s="93">
        <f t="shared" si="290"/>
        <v>0</v>
      </c>
      <c r="AH1729" s="93">
        <f t="shared" si="291"/>
        <v>0</v>
      </c>
      <c r="AI1729" s="88" t="s">
        <v>55</v>
      </c>
      <c r="AJ1729" s="93">
        <f t="shared" si="292"/>
        <v>0</v>
      </c>
      <c r="AK1729" s="93">
        <f t="shared" si="293"/>
        <v>0</v>
      </c>
      <c r="AL1729" s="93">
        <f t="shared" si="294"/>
        <v>0</v>
      </c>
      <c r="AN1729" s="93">
        <v>21</v>
      </c>
      <c r="AO1729" s="93">
        <f>H1729*1</f>
        <v>0</v>
      </c>
      <c r="AP1729" s="93">
        <f>H1729*(1-1)</f>
        <v>0</v>
      </c>
      <c r="AQ1729" s="94" t="s">
        <v>148</v>
      </c>
      <c r="AV1729" s="93">
        <f t="shared" si="295"/>
        <v>0</v>
      </c>
      <c r="AW1729" s="93">
        <f t="shared" si="296"/>
        <v>0</v>
      </c>
      <c r="AX1729" s="93">
        <f t="shared" si="297"/>
        <v>0</v>
      </c>
      <c r="AY1729" s="94" t="s">
        <v>2049</v>
      </c>
      <c r="AZ1729" s="94" t="s">
        <v>1915</v>
      </c>
      <c r="BA1729" s="88" t="s">
        <v>67</v>
      </c>
      <c r="BC1729" s="93">
        <f t="shared" si="298"/>
        <v>0</v>
      </c>
      <c r="BD1729" s="93">
        <f t="shared" si="299"/>
        <v>0</v>
      </c>
      <c r="BE1729" s="93">
        <v>0</v>
      </c>
      <c r="BF1729" s="93">
        <f t="shared" si="300"/>
        <v>4.6000000000000001E-4</v>
      </c>
      <c r="BH1729" s="93">
        <f t="shared" si="301"/>
        <v>0</v>
      </c>
      <c r="BI1729" s="93">
        <f t="shared" si="302"/>
        <v>0</v>
      </c>
      <c r="BJ1729" s="93">
        <f t="shared" si="303"/>
        <v>0</v>
      </c>
      <c r="BK1729" s="93"/>
      <c r="BL1729" s="93">
        <v>734</v>
      </c>
      <c r="BW1729" s="93" t="str">
        <f t="shared" si="304"/>
        <v>21</v>
      </c>
      <c r="BX1729" s="2" t="s">
        <v>2130</v>
      </c>
    </row>
    <row r="1730" spans="1:76" s="81" customFormat="1" x14ac:dyDescent="0.25">
      <c r="A1730" s="109" t="s">
        <v>54</v>
      </c>
      <c r="B1730" s="74" t="s">
        <v>55</v>
      </c>
      <c r="C1730" s="74" t="s">
        <v>2131</v>
      </c>
      <c r="D1730" s="180" t="s">
        <v>2132</v>
      </c>
      <c r="E1730" s="180"/>
      <c r="F1730" s="85" t="s">
        <v>4</v>
      </c>
      <c r="G1730" s="85" t="s">
        <v>4</v>
      </c>
      <c r="H1730" s="85" t="s">
        <v>4</v>
      </c>
      <c r="I1730" s="85" t="s">
        <v>4</v>
      </c>
      <c r="J1730" s="86">
        <f>SUM(J1731:J1771)</f>
        <v>0</v>
      </c>
      <c r="K1730" s="86">
        <f>SUM(K1731:K1771)</f>
        <v>0</v>
      </c>
      <c r="L1730" s="86">
        <f>SUM(L1731:L1771)</f>
        <v>0</v>
      </c>
      <c r="M1730" s="86">
        <f>SUM(M1731:M1771)</f>
        <v>0</v>
      </c>
      <c r="N1730" s="87" t="s">
        <v>54</v>
      </c>
      <c r="O1730" s="86">
        <f>SUM(O1731:O1771)</f>
        <v>6.88E-2</v>
      </c>
      <c r="P1730" s="87" t="s">
        <v>54</v>
      </c>
      <c r="AI1730" s="88" t="s">
        <v>55</v>
      </c>
      <c r="AS1730" s="89">
        <f>SUM(AJ1731:AJ1771)</f>
        <v>0</v>
      </c>
      <c r="AT1730" s="89">
        <f>SUM(AK1731:AK1771)</f>
        <v>0</v>
      </c>
      <c r="AU1730" s="89">
        <f>SUM(AL1731:AL1771)</f>
        <v>0</v>
      </c>
    </row>
    <row r="1731" spans="1:76" s="81" customFormat="1" ht="25.5" x14ac:dyDescent="0.25">
      <c r="A1731" s="66" t="s">
        <v>2141</v>
      </c>
      <c r="B1731" s="72" t="s">
        <v>55</v>
      </c>
      <c r="C1731" s="72" t="s">
        <v>2134</v>
      </c>
      <c r="D1731" s="174" t="s">
        <v>2135</v>
      </c>
      <c r="E1731" s="174"/>
      <c r="F1731" s="72" t="s">
        <v>192</v>
      </c>
      <c r="G1731" s="90">
        <v>84.061819999999997</v>
      </c>
      <c r="H1731" s="91"/>
      <c r="I1731" s="92" t="s">
        <v>63</v>
      </c>
      <c r="J1731" s="90">
        <f>G1731*AO1731</f>
        <v>0</v>
      </c>
      <c r="K1731" s="90">
        <f>G1731*AP1731</f>
        <v>0</v>
      </c>
      <c r="L1731" s="90">
        <f>G1731*H1731</f>
        <v>0</v>
      </c>
      <c r="M1731" s="90">
        <f>L1731*(1+BW1731/100)</f>
        <v>0</v>
      </c>
      <c r="N1731" s="90">
        <v>0</v>
      </c>
      <c r="O1731" s="90">
        <f>G1731*N1731</f>
        <v>0</v>
      </c>
      <c r="P1731" s="92" t="s">
        <v>64</v>
      </c>
      <c r="Z1731" s="93">
        <f>IF(AQ1731="5",BJ1731,0)</f>
        <v>0</v>
      </c>
      <c r="AB1731" s="93">
        <f>IF(AQ1731="1",BH1731,0)</f>
        <v>0</v>
      </c>
      <c r="AC1731" s="93">
        <f>IF(AQ1731="1",BI1731,0)</f>
        <v>0</v>
      </c>
      <c r="AD1731" s="93">
        <f>IF(AQ1731="7",BH1731,0)</f>
        <v>0</v>
      </c>
      <c r="AE1731" s="93">
        <f>IF(AQ1731="7",BI1731,0)</f>
        <v>0</v>
      </c>
      <c r="AF1731" s="93">
        <f>IF(AQ1731="2",BH1731,0)</f>
        <v>0</v>
      </c>
      <c r="AG1731" s="93">
        <f>IF(AQ1731="2",BI1731,0)</f>
        <v>0</v>
      </c>
      <c r="AH1731" s="93">
        <f>IF(AQ1731="0",BJ1731,0)</f>
        <v>0</v>
      </c>
      <c r="AI1731" s="88" t="s">
        <v>55</v>
      </c>
      <c r="AJ1731" s="93">
        <f>IF(AN1731=0,L1731,0)</f>
        <v>0</v>
      </c>
      <c r="AK1731" s="93">
        <f>IF(AN1731=12,L1731,0)</f>
        <v>0</v>
      </c>
      <c r="AL1731" s="93">
        <f>IF(AN1731=21,L1731,0)</f>
        <v>0</v>
      </c>
      <c r="AN1731" s="93">
        <v>21</v>
      </c>
      <c r="AO1731" s="93">
        <f>H1731*0</f>
        <v>0</v>
      </c>
      <c r="AP1731" s="93">
        <f>H1731*(1-0)</f>
        <v>0</v>
      </c>
      <c r="AQ1731" s="94" t="s">
        <v>148</v>
      </c>
      <c r="AV1731" s="93">
        <f>AW1731+AX1731</f>
        <v>0</v>
      </c>
      <c r="AW1731" s="93">
        <f>G1731*AO1731</f>
        <v>0</v>
      </c>
      <c r="AX1731" s="93">
        <f>G1731*AP1731</f>
        <v>0</v>
      </c>
      <c r="AY1731" s="94" t="s">
        <v>2136</v>
      </c>
      <c r="AZ1731" s="94" t="s">
        <v>1915</v>
      </c>
      <c r="BA1731" s="88" t="s">
        <v>67</v>
      </c>
      <c r="BC1731" s="93">
        <f>AW1731+AX1731</f>
        <v>0</v>
      </c>
      <c r="BD1731" s="93">
        <f>H1731/(100-BE1731)*100</f>
        <v>0</v>
      </c>
      <c r="BE1731" s="93">
        <v>0</v>
      </c>
      <c r="BF1731" s="93">
        <f>O1731</f>
        <v>0</v>
      </c>
      <c r="BH1731" s="93">
        <f>G1731*AO1731</f>
        <v>0</v>
      </c>
      <c r="BI1731" s="93">
        <f>G1731*AP1731</f>
        <v>0</v>
      </c>
      <c r="BJ1731" s="93">
        <f>G1731*H1731</f>
        <v>0</v>
      </c>
      <c r="BK1731" s="93"/>
      <c r="BL1731" s="93">
        <v>735</v>
      </c>
      <c r="BW1731" s="93" t="str">
        <f>I1731</f>
        <v>21</v>
      </c>
      <c r="BX1731" s="2" t="s">
        <v>2135</v>
      </c>
    </row>
    <row r="1732" spans="1:76" s="81" customFormat="1" x14ac:dyDescent="0.25">
      <c r="A1732" s="110"/>
      <c r="B1732" s="95"/>
      <c r="C1732" s="95"/>
      <c r="D1732" s="76" t="s">
        <v>54</v>
      </c>
      <c r="E1732" s="76" t="s">
        <v>2137</v>
      </c>
      <c r="F1732" s="95"/>
      <c r="G1732" s="96">
        <v>0</v>
      </c>
      <c r="H1732" s="97"/>
      <c r="I1732" s="95"/>
      <c r="J1732" s="95"/>
      <c r="K1732" s="95"/>
      <c r="L1732" s="95"/>
      <c r="M1732" s="95"/>
      <c r="N1732" s="95"/>
      <c r="O1732" s="95"/>
      <c r="P1732" s="95"/>
    </row>
    <row r="1733" spans="1:76" s="81" customFormat="1" ht="38.25" x14ac:dyDescent="0.25">
      <c r="A1733" s="110"/>
      <c r="B1733" s="95"/>
      <c r="C1733" s="95"/>
      <c r="D1733" s="76" t="s">
        <v>2138</v>
      </c>
      <c r="E1733" s="76" t="s">
        <v>54</v>
      </c>
      <c r="F1733" s="95"/>
      <c r="G1733" s="96">
        <v>29.631820000000001</v>
      </c>
      <c r="H1733" s="97"/>
      <c r="I1733" s="95"/>
      <c r="J1733" s="95"/>
      <c r="K1733" s="95"/>
      <c r="L1733" s="95"/>
      <c r="M1733" s="95"/>
      <c r="N1733" s="95"/>
      <c r="O1733" s="95"/>
      <c r="P1733" s="95"/>
    </row>
    <row r="1734" spans="1:76" s="81" customFormat="1" x14ac:dyDescent="0.25">
      <c r="A1734" s="110"/>
      <c r="B1734" s="95"/>
      <c r="C1734" s="95"/>
      <c r="D1734" s="76" t="s">
        <v>2139</v>
      </c>
      <c r="E1734" s="76" t="s">
        <v>54</v>
      </c>
      <c r="F1734" s="95"/>
      <c r="G1734" s="96">
        <v>26</v>
      </c>
      <c r="H1734" s="97"/>
      <c r="I1734" s="95"/>
      <c r="J1734" s="95"/>
      <c r="K1734" s="95"/>
      <c r="L1734" s="95"/>
      <c r="M1734" s="95"/>
      <c r="N1734" s="95"/>
      <c r="O1734" s="95"/>
      <c r="P1734" s="95"/>
    </row>
    <row r="1735" spans="1:76" s="81" customFormat="1" ht="38.25" x14ac:dyDescent="0.25">
      <c r="A1735" s="110"/>
      <c r="B1735" s="95"/>
      <c r="C1735" s="95"/>
      <c r="D1735" s="76" t="s">
        <v>2140</v>
      </c>
      <c r="E1735" s="76" t="s">
        <v>54</v>
      </c>
      <c r="F1735" s="95"/>
      <c r="G1735" s="96">
        <v>28.43</v>
      </c>
      <c r="H1735" s="97"/>
      <c r="I1735" s="95"/>
      <c r="J1735" s="95"/>
      <c r="K1735" s="95"/>
      <c r="L1735" s="95"/>
      <c r="M1735" s="95"/>
      <c r="N1735" s="95"/>
      <c r="O1735" s="95"/>
      <c r="P1735" s="95"/>
    </row>
    <row r="1736" spans="1:76" s="81" customFormat="1" ht="25.5" x14ac:dyDescent="0.25">
      <c r="A1736" s="66" t="s">
        <v>2144</v>
      </c>
      <c r="B1736" s="72" t="s">
        <v>55</v>
      </c>
      <c r="C1736" s="72" t="s">
        <v>2142</v>
      </c>
      <c r="D1736" s="174" t="s">
        <v>2143</v>
      </c>
      <c r="E1736" s="174"/>
      <c r="F1736" s="72" t="s">
        <v>203</v>
      </c>
      <c r="G1736" s="90">
        <v>4</v>
      </c>
      <c r="H1736" s="91"/>
      <c r="I1736" s="92" t="s">
        <v>63</v>
      </c>
      <c r="J1736" s="90">
        <f>G1736*AO1736</f>
        <v>0</v>
      </c>
      <c r="K1736" s="90">
        <f>G1736*AP1736</f>
        <v>0</v>
      </c>
      <c r="L1736" s="90">
        <f>G1736*H1736</f>
        <v>0</v>
      </c>
      <c r="M1736" s="90">
        <f>L1736*(1+BW1736/100)</f>
        <v>0</v>
      </c>
      <c r="N1736" s="90">
        <v>1.72E-2</v>
      </c>
      <c r="O1736" s="90">
        <f>G1736*N1736</f>
        <v>6.88E-2</v>
      </c>
      <c r="P1736" s="92" t="s">
        <v>64</v>
      </c>
      <c r="Z1736" s="93">
        <f>IF(AQ1736="5",BJ1736,0)</f>
        <v>0</v>
      </c>
      <c r="AB1736" s="93">
        <f>IF(AQ1736="1",BH1736,0)</f>
        <v>0</v>
      </c>
      <c r="AC1736" s="93">
        <f>IF(AQ1736="1",BI1736,0)</f>
        <v>0</v>
      </c>
      <c r="AD1736" s="93">
        <f>IF(AQ1736="7",BH1736,0)</f>
        <v>0</v>
      </c>
      <c r="AE1736" s="93">
        <f>IF(AQ1736="7",BI1736,0)</f>
        <v>0</v>
      </c>
      <c r="AF1736" s="93">
        <f>IF(AQ1736="2",BH1736,0)</f>
        <v>0</v>
      </c>
      <c r="AG1736" s="93">
        <f>IF(AQ1736="2",BI1736,0)</f>
        <v>0</v>
      </c>
      <c r="AH1736" s="93">
        <f>IF(AQ1736="0",BJ1736,0)</f>
        <v>0</v>
      </c>
      <c r="AI1736" s="88" t="s">
        <v>55</v>
      </c>
      <c r="AJ1736" s="93">
        <f>IF(AN1736=0,L1736,0)</f>
        <v>0</v>
      </c>
      <c r="AK1736" s="93">
        <f>IF(AN1736=12,L1736,0)</f>
        <v>0</v>
      </c>
      <c r="AL1736" s="93">
        <f>IF(AN1736=21,L1736,0)</f>
        <v>0</v>
      </c>
      <c r="AN1736" s="93">
        <v>21</v>
      </c>
      <c r="AO1736" s="93">
        <f>H1736*0.913164716</f>
        <v>0</v>
      </c>
      <c r="AP1736" s="93">
        <f>H1736*(1-0.913164716)</f>
        <v>0</v>
      </c>
      <c r="AQ1736" s="94" t="s">
        <v>148</v>
      </c>
      <c r="AV1736" s="93">
        <f>AW1736+AX1736</f>
        <v>0</v>
      </c>
      <c r="AW1736" s="93">
        <f>G1736*AO1736</f>
        <v>0</v>
      </c>
      <c r="AX1736" s="93">
        <f>G1736*AP1736</f>
        <v>0</v>
      </c>
      <c r="AY1736" s="94" t="s">
        <v>2136</v>
      </c>
      <c r="AZ1736" s="94" t="s">
        <v>1915</v>
      </c>
      <c r="BA1736" s="88" t="s">
        <v>67</v>
      </c>
      <c r="BC1736" s="93">
        <f>AW1736+AX1736</f>
        <v>0</v>
      </c>
      <c r="BD1736" s="93">
        <f>H1736/(100-BE1736)*100</f>
        <v>0</v>
      </c>
      <c r="BE1736" s="93">
        <v>0</v>
      </c>
      <c r="BF1736" s="93">
        <f>O1736</f>
        <v>6.88E-2</v>
      </c>
      <c r="BH1736" s="93">
        <f>G1736*AO1736</f>
        <v>0</v>
      </c>
      <c r="BI1736" s="93">
        <f>G1736*AP1736</f>
        <v>0</v>
      </c>
      <c r="BJ1736" s="93">
        <f>G1736*H1736</f>
        <v>0</v>
      </c>
      <c r="BK1736" s="93"/>
      <c r="BL1736" s="93">
        <v>735</v>
      </c>
      <c r="BW1736" s="93" t="str">
        <f>I1736</f>
        <v>21</v>
      </c>
      <c r="BX1736" s="2" t="s">
        <v>2143</v>
      </c>
    </row>
    <row r="1737" spans="1:76" s="81" customFormat="1" ht="25.5" x14ac:dyDescent="0.25">
      <c r="A1737" s="66" t="s">
        <v>2148</v>
      </c>
      <c r="B1737" s="72" t="s">
        <v>55</v>
      </c>
      <c r="C1737" s="72" t="s">
        <v>2145</v>
      </c>
      <c r="D1737" s="174" t="s">
        <v>2146</v>
      </c>
      <c r="E1737" s="174"/>
      <c r="F1737" s="72" t="s">
        <v>203</v>
      </c>
      <c r="G1737" s="90">
        <v>27</v>
      </c>
      <c r="H1737" s="91"/>
      <c r="I1737" s="92" t="s">
        <v>63</v>
      </c>
      <c r="J1737" s="90">
        <f>G1737*AO1737</f>
        <v>0</v>
      </c>
      <c r="K1737" s="90">
        <f>G1737*AP1737</f>
        <v>0</v>
      </c>
      <c r="L1737" s="90">
        <f>G1737*H1737</f>
        <v>0</v>
      </c>
      <c r="M1737" s="90">
        <f>L1737*(1+BW1737/100)</f>
        <v>0</v>
      </c>
      <c r="N1737" s="90">
        <v>0</v>
      </c>
      <c r="O1737" s="90">
        <f>G1737*N1737</f>
        <v>0</v>
      </c>
      <c r="P1737" s="92" t="s">
        <v>64</v>
      </c>
      <c r="Z1737" s="93">
        <f>IF(AQ1737="5",BJ1737,0)</f>
        <v>0</v>
      </c>
      <c r="AB1737" s="93">
        <f>IF(AQ1737="1",BH1737,0)</f>
        <v>0</v>
      </c>
      <c r="AC1737" s="93">
        <f>IF(AQ1737="1",BI1737,0)</f>
        <v>0</v>
      </c>
      <c r="AD1737" s="93">
        <f>IF(AQ1737="7",BH1737,0)</f>
        <v>0</v>
      </c>
      <c r="AE1737" s="93">
        <f>IF(AQ1737="7",BI1737,0)</f>
        <v>0</v>
      </c>
      <c r="AF1737" s="93">
        <f>IF(AQ1737="2",BH1737,0)</f>
        <v>0</v>
      </c>
      <c r="AG1737" s="93">
        <f>IF(AQ1737="2",BI1737,0)</f>
        <v>0</v>
      </c>
      <c r="AH1737" s="93">
        <f>IF(AQ1737="0",BJ1737,0)</f>
        <v>0</v>
      </c>
      <c r="AI1737" s="88" t="s">
        <v>55</v>
      </c>
      <c r="AJ1737" s="93">
        <f>IF(AN1737=0,L1737,0)</f>
        <v>0</v>
      </c>
      <c r="AK1737" s="93">
        <f>IF(AN1737=12,L1737,0)</f>
        <v>0</v>
      </c>
      <c r="AL1737" s="93">
        <f>IF(AN1737=21,L1737,0)</f>
        <v>0</v>
      </c>
      <c r="AN1737" s="93">
        <v>21</v>
      </c>
      <c r="AO1737" s="93">
        <f>H1737*0</f>
        <v>0</v>
      </c>
      <c r="AP1737" s="93">
        <f>H1737*(1-0)</f>
        <v>0</v>
      </c>
      <c r="AQ1737" s="94" t="s">
        <v>148</v>
      </c>
      <c r="AV1737" s="93">
        <f>AW1737+AX1737</f>
        <v>0</v>
      </c>
      <c r="AW1737" s="93">
        <f>G1737*AO1737</f>
        <v>0</v>
      </c>
      <c r="AX1737" s="93">
        <f>G1737*AP1737</f>
        <v>0</v>
      </c>
      <c r="AY1737" s="94" t="s">
        <v>2136</v>
      </c>
      <c r="AZ1737" s="94" t="s">
        <v>1915</v>
      </c>
      <c r="BA1737" s="88" t="s">
        <v>67</v>
      </c>
      <c r="BC1737" s="93">
        <f>AW1737+AX1737</f>
        <v>0</v>
      </c>
      <c r="BD1737" s="93">
        <f>H1737/(100-BE1737)*100</f>
        <v>0</v>
      </c>
      <c r="BE1737" s="93">
        <v>0</v>
      </c>
      <c r="BF1737" s="93">
        <f>O1737</f>
        <v>0</v>
      </c>
      <c r="BH1737" s="93">
        <f>G1737*AO1737</f>
        <v>0</v>
      </c>
      <c r="BI1737" s="93">
        <f>G1737*AP1737</f>
        <v>0</v>
      </c>
      <c r="BJ1737" s="93">
        <f>G1737*H1737</f>
        <v>0</v>
      </c>
      <c r="BK1737" s="93"/>
      <c r="BL1737" s="93">
        <v>735</v>
      </c>
      <c r="BW1737" s="93" t="str">
        <f>I1737</f>
        <v>21</v>
      </c>
      <c r="BX1737" s="2" t="s">
        <v>2146</v>
      </c>
    </row>
    <row r="1738" spans="1:76" s="81" customFormat="1" x14ac:dyDescent="0.25">
      <c r="A1738" s="110"/>
      <c r="B1738" s="95"/>
      <c r="C1738" s="95"/>
      <c r="D1738" s="76" t="s">
        <v>2147</v>
      </c>
      <c r="E1738" s="76" t="s">
        <v>54</v>
      </c>
      <c r="F1738" s="95"/>
      <c r="G1738" s="96">
        <v>27</v>
      </c>
      <c r="H1738" s="97"/>
      <c r="I1738" s="95"/>
      <c r="J1738" s="95"/>
      <c r="K1738" s="95"/>
      <c r="L1738" s="95"/>
      <c r="M1738" s="95"/>
      <c r="N1738" s="95"/>
      <c r="O1738" s="95"/>
      <c r="P1738" s="95"/>
    </row>
    <row r="1739" spans="1:76" s="81" customFormat="1" ht="25.5" x14ac:dyDescent="0.25">
      <c r="A1739" s="66" t="s">
        <v>2152</v>
      </c>
      <c r="B1739" s="72" t="s">
        <v>55</v>
      </c>
      <c r="C1739" s="72" t="s">
        <v>2149</v>
      </c>
      <c r="D1739" s="174" t="s">
        <v>2150</v>
      </c>
      <c r="E1739" s="174"/>
      <c r="F1739" s="72" t="s">
        <v>203</v>
      </c>
      <c r="G1739" s="90">
        <v>19</v>
      </c>
      <c r="H1739" s="91"/>
      <c r="I1739" s="92" t="s">
        <v>63</v>
      </c>
      <c r="J1739" s="90">
        <f>G1739*AO1739</f>
        <v>0</v>
      </c>
      <c r="K1739" s="90">
        <f>G1739*AP1739</f>
        <v>0</v>
      </c>
      <c r="L1739" s="90">
        <f>G1739*H1739</f>
        <v>0</v>
      </c>
      <c r="M1739" s="90">
        <f>L1739*(1+BW1739/100)</f>
        <v>0</v>
      </c>
      <c r="N1739" s="90">
        <v>0</v>
      </c>
      <c r="O1739" s="90">
        <f>G1739*N1739</f>
        <v>0</v>
      </c>
      <c r="P1739" s="92" t="s">
        <v>64</v>
      </c>
      <c r="Z1739" s="93">
        <f>IF(AQ1739="5",BJ1739,0)</f>
        <v>0</v>
      </c>
      <c r="AB1739" s="93">
        <f>IF(AQ1739="1",BH1739,0)</f>
        <v>0</v>
      </c>
      <c r="AC1739" s="93">
        <f>IF(AQ1739="1",BI1739,0)</f>
        <v>0</v>
      </c>
      <c r="AD1739" s="93">
        <f>IF(AQ1739="7",BH1739,0)</f>
        <v>0</v>
      </c>
      <c r="AE1739" s="93">
        <f>IF(AQ1739="7",BI1739,0)</f>
        <v>0</v>
      </c>
      <c r="AF1739" s="93">
        <f>IF(AQ1739="2",BH1739,0)</f>
        <v>0</v>
      </c>
      <c r="AG1739" s="93">
        <f>IF(AQ1739="2",BI1739,0)</f>
        <v>0</v>
      </c>
      <c r="AH1739" s="93">
        <f>IF(AQ1739="0",BJ1739,0)</f>
        <v>0</v>
      </c>
      <c r="AI1739" s="88" t="s">
        <v>55</v>
      </c>
      <c r="AJ1739" s="93">
        <f>IF(AN1739=0,L1739,0)</f>
        <v>0</v>
      </c>
      <c r="AK1739" s="93">
        <f>IF(AN1739=12,L1739,0)</f>
        <v>0</v>
      </c>
      <c r="AL1739" s="93">
        <f>IF(AN1739=21,L1739,0)</f>
        <v>0</v>
      </c>
      <c r="AN1739" s="93">
        <v>21</v>
      </c>
      <c r="AO1739" s="93">
        <f>H1739*0</f>
        <v>0</v>
      </c>
      <c r="AP1739" s="93">
        <f>H1739*(1-0)</f>
        <v>0</v>
      </c>
      <c r="AQ1739" s="94" t="s">
        <v>148</v>
      </c>
      <c r="AV1739" s="93">
        <f>AW1739+AX1739</f>
        <v>0</v>
      </c>
      <c r="AW1739" s="93">
        <f>G1739*AO1739</f>
        <v>0</v>
      </c>
      <c r="AX1739" s="93">
        <f>G1739*AP1739</f>
        <v>0</v>
      </c>
      <c r="AY1739" s="94" t="s">
        <v>2136</v>
      </c>
      <c r="AZ1739" s="94" t="s">
        <v>1915</v>
      </c>
      <c r="BA1739" s="88" t="s">
        <v>67</v>
      </c>
      <c r="BC1739" s="93">
        <f>AW1739+AX1739</f>
        <v>0</v>
      </c>
      <c r="BD1739" s="93">
        <f>H1739/(100-BE1739)*100</f>
        <v>0</v>
      </c>
      <c r="BE1739" s="93">
        <v>0</v>
      </c>
      <c r="BF1739" s="93">
        <f>O1739</f>
        <v>0</v>
      </c>
      <c r="BH1739" s="93">
        <f>G1739*AO1739</f>
        <v>0</v>
      </c>
      <c r="BI1739" s="93">
        <f>G1739*AP1739</f>
        <v>0</v>
      </c>
      <c r="BJ1739" s="93">
        <f>G1739*H1739</f>
        <v>0</v>
      </c>
      <c r="BK1739" s="93"/>
      <c r="BL1739" s="93">
        <v>735</v>
      </c>
      <c r="BW1739" s="93" t="str">
        <f>I1739</f>
        <v>21</v>
      </c>
      <c r="BX1739" s="2" t="s">
        <v>2150</v>
      </c>
    </row>
    <row r="1740" spans="1:76" s="81" customFormat="1" x14ac:dyDescent="0.25">
      <c r="A1740" s="110"/>
      <c r="B1740" s="95"/>
      <c r="C1740" s="95"/>
      <c r="D1740" s="76" t="s">
        <v>2151</v>
      </c>
      <c r="E1740" s="76" t="s">
        <v>54</v>
      </c>
      <c r="F1740" s="95"/>
      <c r="G1740" s="96">
        <v>19</v>
      </c>
      <c r="H1740" s="97"/>
      <c r="I1740" s="95"/>
      <c r="J1740" s="95"/>
      <c r="K1740" s="95"/>
      <c r="L1740" s="95"/>
      <c r="M1740" s="95"/>
      <c r="N1740" s="95"/>
      <c r="O1740" s="95"/>
      <c r="P1740" s="95"/>
    </row>
    <row r="1741" spans="1:76" s="81" customFormat="1" ht="25.5" x14ac:dyDescent="0.25">
      <c r="A1741" s="66" t="s">
        <v>2156</v>
      </c>
      <c r="B1741" s="72" t="s">
        <v>55</v>
      </c>
      <c r="C1741" s="72" t="s">
        <v>2153</v>
      </c>
      <c r="D1741" s="174" t="s">
        <v>2154</v>
      </c>
      <c r="E1741" s="174"/>
      <c r="F1741" s="72" t="s">
        <v>203</v>
      </c>
      <c r="G1741" s="90">
        <v>3</v>
      </c>
      <c r="H1741" s="91"/>
      <c r="I1741" s="92" t="s">
        <v>63</v>
      </c>
      <c r="J1741" s="90">
        <f>G1741*AO1741</f>
        <v>0</v>
      </c>
      <c r="K1741" s="90">
        <f>G1741*AP1741</f>
        <v>0</v>
      </c>
      <c r="L1741" s="90">
        <f>G1741*H1741</f>
        <v>0</v>
      </c>
      <c r="M1741" s="90">
        <f>L1741*(1+BW1741/100)</f>
        <v>0</v>
      </c>
      <c r="N1741" s="90">
        <v>0</v>
      </c>
      <c r="O1741" s="90">
        <f>G1741*N1741</f>
        <v>0</v>
      </c>
      <c r="P1741" s="92" t="s">
        <v>64</v>
      </c>
      <c r="Z1741" s="93">
        <f>IF(AQ1741="5",BJ1741,0)</f>
        <v>0</v>
      </c>
      <c r="AB1741" s="93">
        <f>IF(AQ1741="1",BH1741,0)</f>
        <v>0</v>
      </c>
      <c r="AC1741" s="93">
        <f>IF(AQ1741="1",BI1741,0)</f>
        <v>0</v>
      </c>
      <c r="AD1741" s="93">
        <f>IF(AQ1741="7",BH1741,0)</f>
        <v>0</v>
      </c>
      <c r="AE1741" s="93">
        <f>IF(AQ1741="7",BI1741,0)</f>
        <v>0</v>
      </c>
      <c r="AF1741" s="93">
        <f>IF(AQ1741="2",BH1741,0)</f>
        <v>0</v>
      </c>
      <c r="AG1741" s="93">
        <f>IF(AQ1741="2",BI1741,0)</f>
        <v>0</v>
      </c>
      <c r="AH1741" s="93">
        <f>IF(AQ1741="0",BJ1741,0)</f>
        <v>0</v>
      </c>
      <c r="AI1741" s="88" t="s">
        <v>55</v>
      </c>
      <c r="AJ1741" s="93">
        <f>IF(AN1741=0,L1741,0)</f>
        <v>0</v>
      </c>
      <c r="AK1741" s="93">
        <f>IF(AN1741=12,L1741,0)</f>
        <v>0</v>
      </c>
      <c r="AL1741" s="93">
        <f>IF(AN1741=21,L1741,0)</f>
        <v>0</v>
      </c>
      <c r="AN1741" s="93">
        <v>21</v>
      </c>
      <c r="AO1741" s="93">
        <f>H1741*0</f>
        <v>0</v>
      </c>
      <c r="AP1741" s="93">
        <f>H1741*(1-0)</f>
        <v>0</v>
      </c>
      <c r="AQ1741" s="94" t="s">
        <v>148</v>
      </c>
      <c r="AV1741" s="93">
        <f>AW1741+AX1741</f>
        <v>0</v>
      </c>
      <c r="AW1741" s="93">
        <f>G1741*AO1741</f>
        <v>0</v>
      </c>
      <c r="AX1741" s="93">
        <f>G1741*AP1741</f>
        <v>0</v>
      </c>
      <c r="AY1741" s="94" t="s">
        <v>2136</v>
      </c>
      <c r="AZ1741" s="94" t="s">
        <v>1915</v>
      </c>
      <c r="BA1741" s="88" t="s">
        <v>67</v>
      </c>
      <c r="BC1741" s="93">
        <f>AW1741+AX1741</f>
        <v>0</v>
      </c>
      <c r="BD1741" s="93">
        <f>H1741/(100-BE1741)*100</f>
        <v>0</v>
      </c>
      <c r="BE1741" s="93">
        <v>0</v>
      </c>
      <c r="BF1741" s="93">
        <f>O1741</f>
        <v>0</v>
      </c>
      <c r="BH1741" s="93">
        <f>G1741*AO1741</f>
        <v>0</v>
      </c>
      <c r="BI1741" s="93">
        <f>G1741*AP1741</f>
        <v>0</v>
      </c>
      <c r="BJ1741" s="93">
        <f>G1741*H1741</f>
        <v>0</v>
      </c>
      <c r="BK1741" s="93"/>
      <c r="BL1741" s="93">
        <v>735</v>
      </c>
      <c r="BW1741" s="93" t="str">
        <f>I1741</f>
        <v>21</v>
      </c>
      <c r="BX1741" s="2" t="s">
        <v>2154</v>
      </c>
    </row>
    <row r="1742" spans="1:76" s="81" customFormat="1" x14ac:dyDescent="0.25">
      <c r="A1742" s="110"/>
      <c r="B1742" s="95"/>
      <c r="C1742" s="95"/>
      <c r="D1742" s="76" t="s">
        <v>2155</v>
      </c>
      <c r="E1742" s="76" t="s">
        <v>54</v>
      </c>
      <c r="F1742" s="95"/>
      <c r="G1742" s="96">
        <v>3</v>
      </c>
      <c r="H1742" s="97"/>
      <c r="I1742" s="95"/>
      <c r="J1742" s="95"/>
      <c r="K1742" s="95"/>
      <c r="L1742" s="95"/>
      <c r="M1742" s="95"/>
      <c r="N1742" s="95"/>
      <c r="O1742" s="95"/>
      <c r="P1742" s="95"/>
    </row>
    <row r="1743" spans="1:76" s="81" customFormat="1" ht="25.5" x14ac:dyDescent="0.25">
      <c r="A1743" s="66" t="s">
        <v>2160</v>
      </c>
      <c r="B1743" s="72" t="s">
        <v>55</v>
      </c>
      <c r="C1743" s="72" t="s">
        <v>2157</v>
      </c>
      <c r="D1743" s="174" t="s">
        <v>2158</v>
      </c>
      <c r="E1743" s="174"/>
      <c r="F1743" s="72" t="s">
        <v>203</v>
      </c>
      <c r="G1743" s="90">
        <v>13</v>
      </c>
      <c r="H1743" s="91"/>
      <c r="I1743" s="92" t="s">
        <v>63</v>
      </c>
      <c r="J1743" s="90">
        <f>G1743*AO1743</f>
        <v>0</v>
      </c>
      <c r="K1743" s="90">
        <f>G1743*AP1743</f>
        <v>0</v>
      </c>
      <c r="L1743" s="90">
        <f>G1743*H1743</f>
        <v>0</v>
      </c>
      <c r="M1743" s="90">
        <f>L1743*(1+BW1743/100)</f>
        <v>0</v>
      </c>
      <c r="N1743" s="90">
        <v>0</v>
      </c>
      <c r="O1743" s="90">
        <f>G1743*N1743</f>
        <v>0</v>
      </c>
      <c r="P1743" s="92" t="s">
        <v>64</v>
      </c>
      <c r="Z1743" s="93">
        <f>IF(AQ1743="5",BJ1743,0)</f>
        <v>0</v>
      </c>
      <c r="AB1743" s="93">
        <f>IF(AQ1743="1",BH1743,0)</f>
        <v>0</v>
      </c>
      <c r="AC1743" s="93">
        <f>IF(AQ1743="1",BI1743,0)</f>
        <v>0</v>
      </c>
      <c r="AD1743" s="93">
        <f>IF(AQ1743="7",BH1743,0)</f>
        <v>0</v>
      </c>
      <c r="AE1743" s="93">
        <f>IF(AQ1743="7",BI1743,0)</f>
        <v>0</v>
      </c>
      <c r="AF1743" s="93">
        <f>IF(AQ1743="2",BH1743,0)</f>
        <v>0</v>
      </c>
      <c r="AG1743" s="93">
        <f>IF(AQ1743="2",BI1743,0)</f>
        <v>0</v>
      </c>
      <c r="AH1743" s="93">
        <f>IF(AQ1743="0",BJ1743,0)</f>
        <v>0</v>
      </c>
      <c r="AI1743" s="88" t="s">
        <v>55</v>
      </c>
      <c r="AJ1743" s="93">
        <f>IF(AN1743=0,L1743,0)</f>
        <v>0</v>
      </c>
      <c r="AK1743" s="93">
        <f>IF(AN1743=12,L1743,0)</f>
        <v>0</v>
      </c>
      <c r="AL1743" s="93">
        <f>IF(AN1743=21,L1743,0)</f>
        <v>0</v>
      </c>
      <c r="AN1743" s="93">
        <v>21</v>
      </c>
      <c r="AO1743" s="93">
        <f>H1743*0</f>
        <v>0</v>
      </c>
      <c r="AP1743" s="93">
        <f>H1743*(1-0)</f>
        <v>0</v>
      </c>
      <c r="AQ1743" s="94" t="s">
        <v>148</v>
      </c>
      <c r="AV1743" s="93">
        <f>AW1743+AX1743</f>
        <v>0</v>
      </c>
      <c r="AW1743" s="93">
        <f>G1743*AO1743</f>
        <v>0</v>
      </c>
      <c r="AX1743" s="93">
        <f>G1743*AP1743</f>
        <v>0</v>
      </c>
      <c r="AY1743" s="94" t="s">
        <v>2136</v>
      </c>
      <c r="AZ1743" s="94" t="s">
        <v>1915</v>
      </c>
      <c r="BA1743" s="88" t="s">
        <v>67</v>
      </c>
      <c r="BC1743" s="93">
        <f>AW1743+AX1743</f>
        <v>0</v>
      </c>
      <c r="BD1743" s="93">
        <f>H1743/(100-BE1743)*100</f>
        <v>0</v>
      </c>
      <c r="BE1743" s="93">
        <v>0</v>
      </c>
      <c r="BF1743" s="93">
        <f>O1743</f>
        <v>0</v>
      </c>
      <c r="BH1743" s="93">
        <f>G1743*AO1743</f>
        <v>0</v>
      </c>
      <c r="BI1743" s="93">
        <f>G1743*AP1743</f>
        <v>0</v>
      </c>
      <c r="BJ1743" s="93">
        <f>G1743*H1743</f>
        <v>0</v>
      </c>
      <c r="BK1743" s="93"/>
      <c r="BL1743" s="93">
        <v>735</v>
      </c>
      <c r="BW1743" s="93" t="str">
        <f>I1743</f>
        <v>21</v>
      </c>
      <c r="BX1743" s="2" t="s">
        <v>2158</v>
      </c>
    </row>
    <row r="1744" spans="1:76" s="81" customFormat="1" x14ac:dyDescent="0.25">
      <c r="A1744" s="110"/>
      <c r="B1744" s="95"/>
      <c r="C1744" s="95"/>
      <c r="D1744" s="76" t="s">
        <v>2159</v>
      </c>
      <c r="E1744" s="76" t="s">
        <v>54</v>
      </c>
      <c r="F1744" s="95"/>
      <c r="G1744" s="96">
        <v>13</v>
      </c>
      <c r="H1744" s="97"/>
      <c r="I1744" s="95"/>
      <c r="J1744" s="95"/>
      <c r="K1744" s="95"/>
      <c r="L1744" s="95"/>
      <c r="M1744" s="95"/>
      <c r="N1744" s="95"/>
      <c r="O1744" s="95"/>
      <c r="P1744" s="95"/>
    </row>
    <row r="1745" spans="1:76" s="81" customFormat="1" ht="25.5" x14ac:dyDescent="0.25">
      <c r="A1745" s="66" t="s">
        <v>2163</v>
      </c>
      <c r="B1745" s="72" t="s">
        <v>55</v>
      </c>
      <c r="C1745" s="72" t="s">
        <v>2161</v>
      </c>
      <c r="D1745" s="174" t="s">
        <v>2162</v>
      </c>
      <c r="E1745" s="174"/>
      <c r="F1745" s="72" t="s">
        <v>203</v>
      </c>
      <c r="G1745" s="90">
        <v>3</v>
      </c>
      <c r="H1745" s="91"/>
      <c r="I1745" s="92" t="s">
        <v>63</v>
      </c>
      <c r="J1745" s="90">
        <f t="shared" ref="J1745:J1771" si="305">G1745*AO1745</f>
        <v>0</v>
      </c>
      <c r="K1745" s="90">
        <f t="shared" ref="K1745:K1771" si="306">G1745*AP1745</f>
        <v>0</v>
      </c>
      <c r="L1745" s="90">
        <f t="shared" ref="L1745:L1771" si="307">G1745*H1745</f>
        <v>0</v>
      </c>
      <c r="M1745" s="90">
        <f t="shared" ref="M1745:M1771" si="308">L1745*(1+BW1745/100)</f>
        <v>0</v>
      </c>
      <c r="N1745" s="90">
        <v>0</v>
      </c>
      <c r="O1745" s="90">
        <f t="shared" ref="O1745:O1771" si="309">G1745*N1745</f>
        <v>0</v>
      </c>
      <c r="P1745" s="92" t="s">
        <v>64</v>
      </c>
      <c r="Z1745" s="93">
        <f t="shared" ref="Z1745:Z1771" si="310">IF(AQ1745="5",BJ1745,0)</f>
        <v>0</v>
      </c>
      <c r="AB1745" s="93">
        <f t="shared" ref="AB1745:AB1771" si="311">IF(AQ1745="1",BH1745,0)</f>
        <v>0</v>
      </c>
      <c r="AC1745" s="93">
        <f t="shared" ref="AC1745:AC1771" si="312">IF(AQ1745="1",BI1745,0)</f>
        <v>0</v>
      </c>
      <c r="AD1745" s="93">
        <f t="shared" ref="AD1745:AD1771" si="313">IF(AQ1745="7",BH1745,0)</f>
        <v>0</v>
      </c>
      <c r="AE1745" s="93">
        <f t="shared" ref="AE1745:AE1771" si="314">IF(AQ1745="7",BI1745,0)</f>
        <v>0</v>
      </c>
      <c r="AF1745" s="93">
        <f t="shared" ref="AF1745:AF1771" si="315">IF(AQ1745="2",BH1745,0)</f>
        <v>0</v>
      </c>
      <c r="AG1745" s="93">
        <f t="shared" ref="AG1745:AG1771" si="316">IF(AQ1745="2",BI1745,0)</f>
        <v>0</v>
      </c>
      <c r="AH1745" s="93">
        <f t="shared" ref="AH1745:AH1771" si="317">IF(AQ1745="0",BJ1745,0)</f>
        <v>0</v>
      </c>
      <c r="AI1745" s="88" t="s">
        <v>55</v>
      </c>
      <c r="AJ1745" s="93">
        <f t="shared" ref="AJ1745:AJ1771" si="318">IF(AN1745=0,L1745,0)</f>
        <v>0</v>
      </c>
      <c r="AK1745" s="93">
        <f t="shared" ref="AK1745:AK1771" si="319">IF(AN1745=12,L1745,0)</f>
        <v>0</v>
      </c>
      <c r="AL1745" s="93">
        <f t="shared" ref="AL1745:AL1771" si="320">IF(AN1745=21,L1745,0)</f>
        <v>0</v>
      </c>
      <c r="AN1745" s="93">
        <v>21</v>
      </c>
      <c r="AO1745" s="93">
        <f>H1745*0</f>
        <v>0</v>
      </c>
      <c r="AP1745" s="93">
        <f>H1745*(1-0)</f>
        <v>0</v>
      </c>
      <c r="AQ1745" s="94" t="s">
        <v>148</v>
      </c>
      <c r="AV1745" s="93">
        <f t="shared" ref="AV1745:AV1771" si="321">AW1745+AX1745</f>
        <v>0</v>
      </c>
      <c r="AW1745" s="93">
        <f t="shared" ref="AW1745:AW1771" si="322">G1745*AO1745</f>
        <v>0</v>
      </c>
      <c r="AX1745" s="93">
        <f t="shared" ref="AX1745:AX1771" si="323">G1745*AP1745</f>
        <v>0</v>
      </c>
      <c r="AY1745" s="94" t="s">
        <v>2136</v>
      </c>
      <c r="AZ1745" s="94" t="s">
        <v>1915</v>
      </c>
      <c r="BA1745" s="88" t="s">
        <v>67</v>
      </c>
      <c r="BC1745" s="93">
        <f t="shared" ref="BC1745:BC1771" si="324">AW1745+AX1745</f>
        <v>0</v>
      </c>
      <c r="BD1745" s="93">
        <f t="shared" ref="BD1745:BD1771" si="325">H1745/(100-BE1745)*100</f>
        <v>0</v>
      </c>
      <c r="BE1745" s="93">
        <v>0</v>
      </c>
      <c r="BF1745" s="93">
        <f t="shared" ref="BF1745:BF1771" si="326">O1745</f>
        <v>0</v>
      </c>
      <c r="BH1745" s="93">
        <f t="shared" ref="BH1745:BH1771" si="327">G1745*AO1745</f>
        <v>0</v>
      </c>
      <c r="BI1745" s="93">
        <f t="shared" ref="BI1745:BI1771" si="328">G1745*AP1745</f>
        <v>0</v>
      </c>
      <c r="BJ1745" s="93">
        <f t="shared" ref="BJ1745:BJ1771" si="329">G1745*H1745</f>
        <v>0</v>
      </c>
      <c r="BK1745" s="93"/>
      <c r="BL1745" s="93">
        <v>735</v>
      </c>
      <c r="BW1745" s="93" t="str">
        <f t="shared" ref="BW1745:BW1771" si="330">I1745</f>
        <v>21</v>
      </c>
      <c r="BX1745" s="2" t="s">
        <v>2162</v>
      </c>
    </row>
    <row r="1746" spans="1:76" s="81" customFormat="1" ht="25.5" x14ac:dyDescent="0.25">
      <c r="A1746" s="66" t="s">
        <v>2166</v>
      </c>
      <c r="B1746" s="72" t="s">
        <v>55</v>
      </c>
      <c r="C1746" s="72" t="s">
        <v>2164</v>
      </c>
      <c r="D1746" s="174" t="s">
        <v>2165</v>
      </c>
      <c r="E1746" s="174"/>
      <c r="F1746" s="72" t="s">
        <v>203</v>
      </c>
      <c r="G1746" s="90">
        <v>1</v>
      </c>
      <c r="H1746" s="91"/>
      <c r="I1746" s="92" t="s">
        <v>63</v>
      </c>
      <c r="J1746" s="90">
        <f t="shared" si="305"/>
        <v>0</v>
      </c>
      <c r="K1746" s="90">
        <f t="shared" si="306"/>
        <v>0</v>
      </c>
      <c r="L1746" s="90">
        <f t="shared" si="307"/>
        <v>0</v>
      </c>
      <c r="M1746" s="90">
        <f t="shared" si="308"/>
        <v>0</v>
      </c>
      <c r="N1746" s="90">
        <v>0</v>
      </c>
      <c r="O1746" s="90">
        <f t="shared" si="309"/>
        <v>0</v>
      </c>
      <c r="P1746" s="92" t="s">
        <v>64</v>
      </c>
      <c r="Z1746" s="93">
        <f t="shared" si="310"/>
        <v>0</v>
      </c>
      <c r="AB1746" s="93">
        <f t="shared" si="311"/>
        <v>0</v>
      </c>
      <c r="AC1746" s="93">
        <f t="shared" si="312"/>
        <v>0</v>
      </c>
      <c r="AD1746" s="93">
        <f t="shared" si="313"/>
        <v>0</v>
      </c>
      <c r="AE1746" s="93">
        <f t="shared" si="314"/>
        <v>0</v>
      </c>
      <c r="AF1746" s="93">
        <f t="shared" si="315"/>
        <v>0</v>
      </c>
      <c r="AG1746" s="93">
        <f t="shared" si="316"/>
        <v>0</v>
      </c>
      <c r="AH1746" s="93">
        <f t="shared" si="317"/>
        <v>0</v>
      </c>
      <c r="AI1746" s="88" t="s">
        <v>55</v>
      </c>
      <c r="AJ1746" s="93">
        <f t="shared" si="318"/>
        <v>0</v>
      </c>
      <c r="AK1746" s="93">
        <f t="shared" si="319"/>
        <v>0</v>
      </c>
      <c r="AL1746" s="93">
        <f t="shared" si="320"/>
        <v>0</v>
      </c>
      <c r="AN1746" s="93">
        <v>21</v>
      </c>
      <c r="AO1746" s="93">
        <f>H1746*0</f>
        <v>0</v>
      </c>
      <c r="AP1746" s="93">
        <f>H1746*(1-0)</f>
        <v>0</v>
      </c>
      <c r="AQ1746" s="94" t="s">
        <v>148</v>
      </c>
      <c r="AV1746" s="93">
        <f t="shared" si="321"/>
        <v>0</v>
      </c>
      <c r="AW1746" s="93">
        <f t="shared" si="322"/>
        <v>0</v>
      </c>
      <c r="AX1746" s="93">
        <f t="shared" si="323"/>
        <v>0</v>
      </c>
      <c r="AY1746" s="94" t="s">
        <v>2136</v>
      </c>
      <c r="AZ1746" s="94" t="s">
        <v>1915</v>
      </c>
      <c r="BA1746" s="88" t="s">
        <v>67</v>
      </c>
      <c r="BC1746" s="93">
        <f t="shared" si="324"/>
        <v>0</v>
      </c>
      <c r="BD1746" s="93">
        <f t="shared" si="325"/>
        <v>0</v>
      </c>
      <c r="BE1746" s="93">
        <v>0</v>
      </c>
      <c r="BF1746" s="93">
        <f t="shared" si="326"/>
        <v>0</v>
      </c>
      <c r="BH1746" s="93">
        <f t="shared" si="327"/>
        <v>0</v>
      </c>
      <c r="BI1746" s="93">
        <f t="shared" si="328"/>
        <v>0</v>
      </c>
      <c r="BJ1746" s="93">
        <f t="shared" si="329"/>
        <v>0</v>
      </c>
      <c r="BK1746" s="93"/>
      <c r="BL1746" s="93">
        <v>735</v>
      </c>
      <c r="BW1746" s="93" t="str">
        <f t="shared" si="330"/>
        <v>21</v>
      </c>
      <c r="BX1746" s="2" t="s">
        <v>2165</v>
      </c>
    </row>
    <row r="1747" spans="1:76" s="81" customFormat="1" ht="25.5" x14ac:dyDescent="0.25">
      <c r="A1747" s="66" t="s">
        <v>2169</v>
      </c>
      <c r="B1747" s="72" t="s">
        <v>55</v>
      </c>
      <c r="C1747" s="72" t="s">
        <v>2167</v>
      </c>
      <c r="D1747" s="174" t="s">
        <v>2168</v>
      </c>
      <c r="E1747" s="174"/>
      <c r="F1747" s="72" t="s">
        <v>203</v>
      </c>
      <c r="G1747" s="90">
        <v>2</v>
      </c>
      <c r="H1747" s="91"/>
      <c r="I1747" s="92" t="s">
        <v>63</v>
      </c>
      <c r="J1747" s="90">
        <f t="shared" si="305"/>
        <v>0</v>
      </c>
      <c r="K1747" s="90">
        <f t="shared" si="306"/>
        <v>0</v>
      </c>
      <c r="L1747" s="90">
        <f t="shared" si="307"/>
        <v>0</v>
      </c>
      <c r="M1747" s="90">
        <f t="shared" si="308"/>
        <v>0</v>
      </c>
      <c r="N1747" s="90">
        <v>0</v>
      </c>
      <c r="O1747" s="90">
        <f t="shared" si="309"/>
        <v>0</v>
      </c>
      <c r="P1747" s="92" t="s">
        <v>578</v>
      </c>
      <c r="Z1747" s="93">
        <f t="shared" si="310"/>
        <v>0</v>
      </c>
      <c r="AB1747" s="93">
        <f t="shared" si="311"/>
        <v>0</v>
      </c>
      <c r="AC1747" s="93">
        <f t="shared" si="312"/>
        <v>0</v>
      </c>
      <c r="AD1747" s="93">
        <f t="shared" si="313"/>
        <v>0</v>
      </c>
      <c r="AE1747" s="93">
        <f t="shared" si="314"/>
        <v>0</v>
      </c>
      <c r="AF1747" s="93">
        <f t="shared" si="315"/>
        <v>0</v>
      </c>
      <c r="AG1747" s="93">
        <f t="shared" si="316"/>
        <v>0</v>
      </c>
      <c r="AH1747" s="93">
        <f t="shared" si="317"/>
        <v>0</v>
      </c>
      <c r="AI1747" s="88" t="s">
        <v>55</v>
      </c>
      <c r="AJ1747" s="93">
        <f t="shared" si="318"/>
        <v>0</v>
      </c>
      <c r="AK1747" s="93">
        <f t="shared" si="319"/>
        <v>0</v>
      </c>
      <c r="AL1747" s="93">
        <f t="shared" si="320"/>
        <v>0</v>
      </c>
      <c r="AN1747" s="93">
        <v>21</v>
      </c>
      <c r="AO1747" s="93">
        <f t="shared" ref="AO1747:AO1770" si="331">H1747*1</f>
        <v>0</v>
      </c>
      <c r="AP1747" s="93">
        <f t="shared" ref="AP1747:AP1770" si="332">H1747*(1-1)</f>
        <v>0</v>
      </c>
      <c r="AQ1747" s="94" t="s">
        <v>148</v>
      </c>
      <c r="AV1747" s="93">
        <f t="shared" si="321"/>
        <v>0</v>
      </c>
      <c r="AW1747" s="93">
        <f t="shared" si="322"/>
        <v>0</v>
      </c>
      <c r="AX1747" s="93">
        <f t="shared" si="323"/>
        <v>0</v>
      </c>
      <c r="AY1747" s="94" t="s">
        <v>2136</v>
      </c>
      <c r="AZ1747" s="94" t="s">
        <v>1915</v>
      </c>
      <c r="BA1747" s="88" t="s">
        <v>67</v>
      </c>
      <c r="BC1747" s="93">
        <f t="shared" si="324"/>
        <v>0</v>
      </c>
      <c r="BD1747" s="93">
        <f t="shared" si="325"/>
        <v>0</v>
      </c>
      <c r="BE1747" s="93">
        <v>0</v>
      </c>
      <c r="BF1747" s="93">
        <f t="shared" si="326"/>
        <v>0</v>
      </c>
      <c r="BH1747" s="93">
        <f t="shared" si="327"/>
        <v>0</v>
      </c>
      <c r="BI1747" s="93">
        <f t="shared" si="328"/>
        <v>0</v>
      </c>
      <c r="BJ1747" s="93">
        <f t="shared" si="329"/>
        <v>0</v>
      </c>
      <c r="BK1747" s="93"/>
      <c r="BL1747" s="93">
        <v>735</v>
      </c>
      <c r="BW1747" s="93" t="str">
        <f t="shared" si="330"/>
        <v>21</v>
      </c>
      <c r="BX1747" s="2" t="s">
        <v>2168</v>
      </c>
    </row>
    <row r="1748" spans="1:76" s="81" customFormat="1" ht="25.5" x14ac:dyDescent="0.25">
      <c r="A1748" s="66" t="s">
        <v>2172</v>
      </c>
      <c r="B1748" s="72" t="s">
        <v>55</v>
      </c>
      <c r="C1748" s="72" t="s">
        <v>2170</v>
      </c>
      <c r="D1748" s="174" t="s">
        <v>2171</v>
      </c>
      <c r="E1748" s="174"/>
      <c r="F1748" s="72" t="s">
        <v>203</v>
      </c>
      <c r="G1748" s="90">
        <v>4</v>
      </c>
      <c r="H1748" s="91"/>
      <c r="I1748" s="92" t="s">
        <v>63</v>
      </c>
      <c r="J1748" s="90">
        <f t="shared" si="305"/>
        <v>0</v>
      </c>
      <c r="K1748" s="90">
        <f t="shared" si="306"/>
        <v>0</v>
      </c>
      <c r="L1748" s="90">
        <f t="shared" si="307"/>
        <v>0</v>
      </c>
      <c r="M1748" s="90">
        <f t="shared" si="308"/>
        <v>0</v>
      </c>
      <c r="N1748" s="90">
        <v>0</v>
      </c>
      <c r="O1748" s="90">
        <f t="shared" si="309"/>
        <v>0</v>
      </c>
      <c r="P1748" s="92" t="s">
        <v>578</v>
      </c>
      <c r="Z1748" s="93">
        <f t="shared" si="310"/>
        <v>0</v>
      </c>
      <c r="AB1748" s="93">
        <f t="shared" si="311"/>
        <v>0</v>
      </c>
      <c r="AC1748" s="93">
        <f t="shared" si="312"/>
        <v>0</v>
      </c>
      <c r="AD1748" s="93">
        <f t="shared" si="313"/>
        <v>0</v>
      </c>
      <c r="AE1748" s="93">
        <f t="shared" si="314"/>
        <v>0</v>
      </c>
      <c r="AF1748" s="93">
        <f t="shared" si="315"/>
        <v>0</v>
      </c>
      <c r="AG1748" s="93">
        <f t="shared" si="316"/>
        <v>0</v>
      </c>
      <c r="AH1748" s="93">
        <f t="shared" si="317"/>
        <v>0</v>
      </c>
      <c r="AI1748" s="88" t="s">
        <v>55</v>
      </c>
      <c r="AJ1748" s="93">
        <f t="shared" si="318"/>
        <v>0</v>
      </c>
      <c r="AK1748" s="93">
        <f t="shared" si="319"/>
        <v>0</v>
      </c>
      <c r="AL1748" s="93">
        <f t="shared" si="320"/>
        <v>0</v>
      </c>
      <c r="AN1748" s="93">
        <v>21</v>
      </c>
      <c r="AO1748" s="93">
        <f t="shared" si="331"/>
        <v>0</v>
      </c>
      <c r="AP1748" s="93">
        <f t="shared" si="332"/>
        <v>0</v>
      </c>
      <c r="AQ1748" s="94" t="s">
        <v>148</v>
      </c>
      <c r="AV1748" s="93">
        <f t="shared" si="321"/>
        <v>0</v>
      </c>
      <c r="AW1748" s="93">
        <f t="shared" si="322"/>
        <v>0</v>
      </c>
      <c r="AX1748" s="93">
        <f t="shared" si="323"/>
        <v>0</v>
      </c>
      <c r="AY1748" s="94" t="s">
        <v>2136</v>
      </c>
      <c r="AZ1748" s="94" t="s">
        <v>1915</v>
      </c>
      <c r="BA1748" s="88" t="s">
        <v>67</v>
      </c>
      <c r="BC1748" s="93">
        <f t="shared" si="324"/>
        <v>0</v>
      </c>
      <c r="BD1748" s="93">
        <f t="shared" si="325"/>
        <v>0</v>
      </c>
      <c r="BE1748" s="93">
        <v>0</v>
      </c>
      <c r="BF1748" s="93">
        <f t="shared" si="326"/>
        <v>0</v>
      </c>
      <c r="BH1748" s="93">
        <f t="shared" si="327"/>
        <v>0</v>
      </c>
      <c r="BI1748" s="93">
        <f t="shared" si="328"/>
        <v>0</v>
      </c>
      <c r="BJ1748" s="93">
        <f t="shared" si="329"/>
        <v>0</v>
      </c>
      <c r="BK1748" s="93"/>
      <c r="BL1748" s="93">
        <v>735</v>
      </c>
      <c r="BW1748" s="93" t="str">
        <f t="shared" si="330"/>
        <v>21</v>
      </c>
      <c r="BX1748" s="2" t="s">
        <v>2171</v>
      </c>
    </row>
    <row r="1749" spans="1:76" s="81" customFormat="1" ht="25.5" x14ac:dyDescent="0.25">
      <c r="A1749" s="66" t="s">
        <v>2175</v>
      </c>
      <c r="B1749" s="72" t="s">
        <v>55</v>
      </c>
      <c r="C1749" s="72" t="s">
        <v>2173</v>
      </c>
      <c r="D1749" s="174" t="s">
        <v>2174</v>
      </c>
      <c r="E1749" s="174"/>
      <c r="F1749" s="72" t="s">
        <v>203</v>
      </c>
      <c r="G1749" s="90">
        <v>2</v>
      </c>
      <c r="H1749" s="91"/>
      <c r="I1749" s="92" t="s">
        <v>63</v>
      </c>
      <c r="J1749" s="90">
        <f t="shared" si="305"/>
        <v>0</v>
      </c>
      <c r="K1749" s="90">
        <f t="shared" si="306"/>
        <v>0</v>
      </c>
      <c r="L1749" s="90">
        <f t="shared" si="307"/>
        <v>0</v>
      </c>
      <c r="M1749" s="90">
        <f t="shared" si="308"/>
        <v>0</v>
      </c>
      <c r="N1749" s="90">
        <v>0</v>
      </c>
      <c r="O1749" s="90">
        <f t="shared" si="309"/>
        <v>0</v>
      </c>
      <c r="P1749" s="92" t="s">
        <v>578</v>
      </c>
      <c r="Z1749" s="93">
        <f t="shared" si="310"/>
        <v>0</v>
      </c>
      <c r="AB1749" s="93">
        <f t="shared" si="311"/>
        <v>0</v>
      </c>
      <c r="AC1749" s="93">
        <f t="shared" si="312"/>
        <v>0</v>
      </c>
      <c r="AD1749" s="93">
        <f t="shared" si="313"/>
        <v>0</v>
      </c>
      <c r="AE1749" s="93">
        <f t="shared" si="314"/>
        <v>0</v>
      </c>
      <c r="AF1749" s="93">
        <f t="shared" si="315"/>
        <v>0</v>
      </c>
      <c r="AG1749" s="93">
        <f t="shared" si="316"/>
        <v>0</v>
      </c>
      <c r="AH1749" s="93">
        <f t="shared" si="317"/>
        <v>0</v>
      </c>
      <c r="AI1749" s="88" t="s">
        <v>55</v>
      </c>
      <c r="AJ1749" s="93">
        <f t="shared" si="318"/>
        <v>0</v>
      </c>
      <c r="AK1749" s="93">
        <f t="shared" si="319"/>
        <v>0</v>
      </c>
      <c r="AL1749" s="93">
        <f t="shared" si="320"/>
        <v>0</v>
      </c>
      <c r="AN1749" s="93">
        <v>21</v>
      </c>
      <c r="AO1749" s="93">
        <f t="shared" si="331"/>
        <v>0</v>
      </c>
      <c r="AP1749" s="93">
        <f t="shared" si="332"/>
        <v>0</v>
      </c>
      <c r="AQ1749" s="94" t="s">
        <v>148</v>
      </c>
      <c r="AV1749" s="93">
        <f t="shared" si="321"/>
        <v>0</v>
      </c>
      <c r="AW1749" s="93">
        <f t="shared" si="322"/>
        <v>0</v>
      </c>
      <c r="AX1749" s="93">
        <f t="shared" si="323"/>
        <v>0</v>
      </c>
      <c r="AY1749" s="94" t="s">
        <v>2136</v>
      </c>
      <c r="AZ1749" s="94" t="s">
        <v>1915</v>
      </c>
      <c r="BA1749" s="88" t="s">
        <v>67</v>
      </c>
      <c r="BC1749" s="93">
        <f t="shared" si="324"/>
        <v>0</v>
      </c>
      <c r="BD1749" s="93">
        <f t="shared" si="325"/>
        <v>0</v>
      </c>
      <c r="BE1749" s="93">
        <v>0</v>
      </c>
      <c r="BF1749" s="93">
        <f t="shared" si="326"/>
        <v>0</v>
      </c>
      <c r="BH1749" s="93">
        <f t="shared" si="327"/>
        <v>0</v>
      </c>
      <c r="BI1749" s="93">
        <f t="shared" si="328"/>
        <v>0</v>
      </c>
      <c r="BJ1749" s="93">
        <f t="shared" si="329"/>
        <v>0</v>
      </c>
      <c r="BK1749" s="93"/>
      <c r="BL1749" s="93">
        <v>735</v>
      </c>
      <c r="BW1749" s="93" t="str">
        <f t="shared" si="330"/>
        <v>21</v>
      </c>
      <c r="BX1749" s="2" t="s">
        <v>2174</v>
      </c>
    </row>
    <row r="1750" spans="1:76" s="81" customFormat="1" ht="25.5" x14ac:dyDescent="0.25">
      <c r="A1750" s="66" t="s">
        <v>2178</v>
      </c>
      <c r="B1750" s="72" t="s">
        <v>55</v>
      </c>
      <c r="C1750" s="72" t="s">
        <v>2176</v>
      </c>
      <c r="D1750" s="174" t="s">
        <v>2177</v>
      </c>
      <c r="E1750" s="174"/>
      <c r="F1750" s="72" t="s">
        <v>203</v>
      </c>
      <c r="G1750" s="90">
        <v>1</v>
      </c>
      <c r="H1750" s="91"/>
      <c r="I1750" s="92" t="s">
        <v>63</v>
      </c>
      <c r="J1750" s="90">
        <f t="shared" si="305"/>
        <v>0</v>
      </c>
      <c r="K1750" s="90">
        <f t="shared" si="306"/>
        <v>0</v>
      </c>
      <c r="L1750" s="90">
        <f t="shared" si="307"/>
        <v>0</v>
      </c>
      <c r="M1750" s="90">
        <f t="shared" si="308"/>
        <v>0</v>
      </c>
      <c r="N1750" s="90">
        <v>0</v>
      </c>
      <c r="O1750" s="90">
        <f t="shared" si="309"/>
        <v>0</v>
      </c>
      <c r="P1750" s="92" t="s">
        <v>578</v>
      </c>
      <c r="Z1750" s="93">
        <f t="shared" si="310"/>
        <v>0</v>
      </c>
      <c r="AB1750" s="93">
        <f t="shared" si="311"/>
        <v>0</v>
      </c>
      <c r="AC1750" s="93">
        <f t="shared" si="312"/>
        <v>0</v>
      </c>
      <c r="AD1750" s="93">
        <f t="shared" si="313"/>
        <v>0</v>
      </c>
      <c r="AE1750" s="93">
        <f t="shared" si="314"/>
        <v>0</v>
      </c>
      <c r="AF1750" s="93">
        <f t="shared" si="315"/>
        <v>0</v>
      </c>
      <c r="AG1750" s="93">
        <f t="shared" si="316"/>
        <v>0</v>
      </c>
      <c r="AH1750" s="93">
        <f t="shared" si="317"/>
        <v>0</v>
      </c>
      <c r="AI1750" s="88" t="s">
        <v>55</v>
      </c>
      <c r="AJ1750" s="93">
        <f t="shared" si="318"/>
        <v>0</v>
      </c>
      <c r="AK1750" s="93">
        <f t="shared" si="319"/>
        <v>0</v>
      </c>
      <c r="AL1750" s="93">
        <f t="shared" si="320"/>
        <v>0</v>
      </c>
      <c r="AN1750" s="93">
        <v>21</v>
      </c>
      <c r="AO1750" s="93">
        <f t="shared" si="331"/>
        <v>0</v>
      </c>
      <c r="AP1750" s="93">
        <f t="shared" si="332"/>
        <v>0</v>
      </c>
      <c r="AQ1750" s="94" t="s">
        <v>148</v>
      </c>
      <c r="AV1750" s="93">
        <f t="shared" si="321"/>
        <v>0</v>
      </c>
      <c r="AW1750" s="93">
        <f t="shared" si="322"/>
        <v>0</v>
      </c>
      <c r="AX1750" s="93">
        <f t="shared" si="323"/>
        <v>0</v>
      </c>
      <c r="AY1750" s="94" t="s">
        <v>2136</v>
      </c>
      <c r="AZ1750" s="94" t="s">
        <v>1915</v>
      </c>
      <c r="BA1750" s="88" t="s">
        <v>67</v>
      </c>
      <c r="BC1750" s="93">
        <f t="shared" si="324"/>
        <v>0</v>
      </c>
      <c r="BD1750" s="93">
        <f t="shared" si="325"/>
        <v>0</v>
      </c>
      <c r="BE1750" s="93">
        <v>0</v>
      </c>
      <c r="BF1750" s="93">
        <f t="shared" si="326"/>
        <v>0</v>
      </c>
      <c r="BH1750" s="93">
        <f t="shared" si="327"/>
        <v>0</v>
      </c>
      <c r="BI1750" s="93">
        <f t="shared" si="328"/>
        <v>0</v>
      </c>
      <c r="BJ1750" s="93">
        <f t="shared" si="329"/>
        <v>0</v>
      </c>
      <c r="BK1750" s="93"/>
      <c r="BL1750" s="93">
        <v>735</v>
      </c>
      <c r="BW1750" s="93" t="str">
        <f t="shared" si="330"/>
        <v>21</v>
      </c>
      <c r="BX1750" s="2" t="s">
        <v>2177</v>
      </c>
    </row>
    <row r="1751" spans="1:76" s="81" customFormat="1" ht="25.5" x14ac:dyDescent="0.25">
      <c r="A1751" s="66" t="s">
        <v>2181</v>
      </c>
      <c r="B1751" s="72" t="s">
        <v>55</v>
      </c>
      <c r="C1751" s="72" t="s">
        <v>2179</v>
      </c>
      <c r="D1751" s="174" t="s">
        <v>2180</v>
      </c>
      <c r="E1751" s="174"/>
      <c r="F1751" s="72" t="s">
        <v>203</v>
      </c>
      <c r="G1751" s="90">
        <v>7</v>
      </c>
      <c r="H1751" s="91"/>
      <c r="I1751" s="92" t="s">
        <v>63</v>
      </c>
      <c r="J1751" s="90">
        <f t="shared" si="305"/>
        <v>0</v>
      </c>
      <c r="K1751" s="90">
        <f t="shared" si="306"/>
        <v>0</v>
      </c>
      <c r="L1751" s="90">
        <f t="shared" si="307"/>
        <v>0</v>
      </c>
      <c r="M1751" s="90">
        <f t="shared" si="308"/>
        <v>0</v>
      </c>
      <c r="N1751" s="90">
        <v>0</v>
      </c>
      <c r="O1751" s="90">
        <f t="shared" si="309"/>
        <v>0</v>
      </c>
      <c r="P1751" s="92" t="s">
        <v>578</v>
      </c>
      <c r="Z1751" s="93">
        <f t="shared" si="310"/>
        <v>0</v>
      </c>
      <c r="AB1751" s="93">
        <f t="shared" si="311"/>
        <v>0</v>
      </c>
      <c r="AC1751" s="93">
        <f t="shared" si="312"/>
        <v>0</v>
      </c>
      <c r="AD1751" s="93">
        <f t="shared" si="313"/>
        <v>0</v>
      </c>
      <c r="AE1751" s="93">
        <f t="shared" si="314"/>
        <v>0</v>
      </c>
      <c r="AF1751" s="93">
        <f t="shared" si="315"/>
        <v>0</v>
      </c>
      <c r="AG1751" s="93">
        <f t="shared" si="316"/>
        <v>0</v>
      </c>
      <c r="AH1751" s="93">
        <f t="shared" si="317"/>
        <v>0</v>
      </c>
      <c r="AI1751" s="88" t="s">
        <v>55</v>
      </c>
      <c r="AJ1751" s="93">
        <f t="shared" si="318"/>
        <v>0</v>
      </c>
      <c r="AK1751" s="93">
        <f t="shared" si="319"/>
        <v>0</v>
      </c>
      <c r="AL1751" s="93">
        <f t="shared" si="320"/>
        <v>0</v>
      </c>
      <c r="AN1751" s="93">
        <v>21</v>
      </c>
      <c r="AO1751" s="93">
        <f t="shared" si="331"/>
        <v>0</v>
      </c>
      <c r="AP1751" s="93">
        <f t="shared" si="332"/>
        <v>0</v>
      </c>
      <c r="AQ1751" s="94" t="s">
        <v>148</v>
      </c>
      <c r="AV1751" s="93">
        <f t="shared" si="321"/>
        <v>0</v>
      </c>
      <c r="AW1751" s="93">
        <f t="shared" si="322"/>
        <v>0</v>
      </c>
      <c r="AX1751" s="93">
        <f t="shared" si="323"/>
        <v>0</v>
      </c>
      <c r="AY1751" s="94" t="s">
        <v>2136</v>
      </c>
      <c r="AZ1751" s="94" t="s">
        <v>1915</v>
      </c>
      <c r="BA1751" s="88" t="s">
        <v>67</v>
      </c>
      <c r="BC1751" s="93">
        <f t="shared" si="324"/>
        <v>0</v>
      </c>
      <c r="BD1751" s="93">
        <f t="shared" si="325"/>
        <v>0</v>
      </c>
      <c r="BE1751" s="93">
        <v>0</v>
      </c>
      <c r="BF1751" s="93">
        <f t="shared" si="326"/>
        <v>0</v>
      </c>
      <c r="BH1751" s="93">
        <f t="shared" si="327"/>
        <v>0</v>
      </c>
      <c r="BI1751" s="93">
        <f t="shared" si="328"/>
        <v>0</v>
      </c>
      <c r="BJ1751" s="93">
        <f t="shared" si="329"/>
        <v>0</v>
      </c>
      <c r="BK1751" s="93"/>
      <c r="BL1751" s="93">
        <v>735</v>
      </c>
      <c r="BW1751" s="93" t="str">
        <f t="shared" si="330"/>
        <v>21</v>
      </c>
      <c r="BX1751" s="2" t="s">
        <v>2180</v>
      </c>
    </row>
    <row r="1752" spans="1:76" s="81" customFormat="1" ht="25.5" x14ac:dyDescent="0.25">
      <c r="A1752" s="66" t="s">
        <v>2184</v>
      </c>
      <c r="B1752" s="72" t="s">
        <v>55</v>
      </c>
      <c r="C1752" s="72" t="s">
        <v>2182</v>
      </c>
      <c r="D1752" s="174" t="s">
        <v>2183</v>
      </c>
      <c r="E1752" s="174"/>
      <c r="F1752" s="72" t="s">
        <v>203</v>
      </c>
      <c r="G1752" s="90">
        <v>1</v>
      </c>
      <c r="H1752" s="91"/>
      <c r="I1752" s="92" t="s">
        <v>63</v>
      </c>
      <c r="J1752" s="90">
        <f t="shared" si="305"/>
        <v>0</v>
      </c>
      <c r="K1752" s="90">
        <f t="shared" si="306"/>
        <v>0</v>
      </c>
      <c r="L1752" s="90">
        <f t="shared" si="307"/>
        <v>0</v>
      </c>
      <c r="M1752" s="90">
        <f t="shared" si="308"/>
        <v>0</v>
      </c>
      <c r="N1752" s="90">
        <v>0</v>
      </c>
      <c r="O1752" s="90">
        <f t="shared" si="309"/>
        <v>0</v>
      </c>
      <c r="P1752" s="92" t="s">
        <v>578</v>
      </c>
      <c r="Z1752" s="93">
        <f t="shared" si="310"/>
        <v>0</v>
      </c>
      <c r="AB1752" s="93">
        <f t="shared" si="311"/>
        <v>0</v>
      </c>
      <c r="AC1752" s="93">
        <f t="shared" si="312"/>
        <v>0</v>
      </c>
      <c r="AD1752" s="93">
        <f t="shared" si="313"/>
        <v>0</v>
      </c>
      <c r="AE1752" s="93">
        <f t="shared" si="314"/>
        <v>0</v>
      </c>
      <c r="AF1752" s="93">
        <f t="shared" si="315"/>
        <v>0</v>
      </c>
      <c r="AG1752" s="93">
        <f t="shared" si="316"/>
        <v>0</v>
      </c>
      <c r="AH1752" s="93">
        <f t="shared" si="317"/>
        <v>0</v>
      </c>
      <c r="AI1752" s="88" t="s">
        <v>55</v>
      </c>
      <c r="AJ1752" s="93">
        <f t="shared" si="318"/>
        <v>0</v>
      </c>
      <c r="AK1752" s="93">
        <f t="shared" si="319"/>
        <v>0</v>
      </c>
      <c r="AL1752" s="93">
        <f t="shared" si="320"/>
        <v>0</v>
      </c>
      <c r="AN1752" s="93">
        <v>21</v>
      </c>
      <c r="AO1752" s="93">
        <f t="shared" si="331"/>
        <v>0</v>
      </c>
      <c r="AP1752" s="93">
        <f t="shared" si="332"/>
        <v>0</v>
      </c>
      <c r="AQ1752" s="94" t="s">
        <v>148</v>
      </c>
      <c r="AV1752" s="93">
        <f t="shared" si="321"/>
        <v>0</v>
      </c>
      <c r="AW1752" s="93">
        <f t="shared" si="322"/>
        <v>0</v>
      </c>
      <c r="AX1752" s="93">
        <f t="shared" si="323"/>
        <v>0</v>
      </c>
      <c r="AY1752" s="94" t="s">
        <v>2136</v>
      </c>
      <c r="AZ1752" s="94" t="s">
        <v>1915</v>
      </c>
      <c r="BA1752" s="88" t="s">
        <v>67</v>
      </c>
      <c r="BC1752" s="93">
        <f t="shared" si="324"/>
        <v>0</v>
      </c>
      <c r="BD1752" s="93">
        <f t="shared" si="325"/>
        <v>0</v>
      </c>
      <c r="BE1752" s="93">
        <v>0</v>
      </c>
      <c r="BF1752" s="93">
        <f t="shared" si="326"/>
        <v>0</v>
      </c>
      <c r="BH1752" s="93">
        <f t="shared" si="327"/>
        <v>0</v>
      </c>
      <c r="BI1752" s="93">
        <f t="shared" si="328"/>
        <v>0</v>
      </c>
      <c r="BJ1752" s="93">
        <f t="shared" si="329"/>
        <v>0</v>
      </c>
      <c r="BK1752" s="93"/>
      <c r="BL1752" s="93">
        <v>735</v>
      </c>
      <c r="BW1752" s="93" t="str">
        <f t="shared" si="330"/>
        <v>21</v>
      </c>
      <c r="BX1752" s="2" t="s">
        <v>2183</v>
      </c>
    </row>
    <row r="1753" spans="1:76" s="81" customFormat="1" ht="25.5" x14ac:dyDescent="0.25">
      <c r="A1753" s="66" t="s">
        <v>2187</v>
      </c>
      <c r="B1753" s="72" t="s">
        <v>55</v>
      </c>
      <c r="C1753" s="72" t="s">
        <v>2185</v>
      </c>
      <c r="D1753" s="174" t="s">
        <v>2186</v>
      </c>
      <c r="E1753" s="174"/>
      <c r="F1753" s="72" t="s">
        <v>203</v>
      </c>
      <c r="G1753" s="90">
        <v>1</v>
      </c>
      <c r="H1753" s="91"/>
      <c r="I1753" s="92" t="s">
        <v>63</v>
      </c>
      <c r="J1753" s="90">
        <f t="shared" si="305"/>
        <v>0</v>
      </c>
      <c r="K1753" s="90">
        <f t="shared" si="306"/>
        <v>0</v>
      </c>
      <c r="L1753" s="90">
        <f t="shared" si="307"/>
        <v>0</v>
      </c>
      <c r="M1753" s="90">
        <f t="shared" si="308"/>
        <v>0</v>
      </c>
      <c r="N1753" s="90">
        <v>0</v>
      </c>
      <c r="O1753" s="90">
        <f t="shared" si="309"/>
        <v>0</v>
      </c>
      <c r="P1753" s="92" t="s">
        <v>578</v>
      </c>
      <c r="Z1753" s="93">
        <f t="shared" si="310"/>
        <v>0</v>
      </c>
      <c r="AB1753" s="93">
        <f t="shared" si="311"/>
        <v>0</v>
      </c>
      <c r="AC1753" s="93">
        <f t="shared" si="312"/>
        <v>0</v>
      </c>
      <c r="AD1753" s="93">
        <f t="shared" si="313"/>
        <v>0</v>
      </c>
      <c r="AE1753" s="93">
        <f t="shared" si="314"/>
        <v>0</v>
      </c>
      <c r="AF1753" s="93">
        <f t="shared" si="315"/>
        <v>0</v>
      </c>
      <c r="AG1753" s="93">
        <f t="shared" si="316"/>
        <v>0</v>
      </c>
      <c r="AH1753" s="93">
        <f t="shared" si="317"/>
        <v>0</v>
      </c>
      <c r="AI1753" s="88" t="s">
        <v>55</v>
      </c>
      <c r="AJ1753" s="93">
        <f t="shared" si="318"/>
        <v>0</v>
      </c>
      <c r="AK1753" s="93">
        <f t="shared" si="319"/>
        <v>0</v>
      </c>
      <c r="AL1753" s="93">
        <f t="shared" si="320"/>
        <v>0</v>
      </c>
      <c r="AN1753" s="93">
        <v>21</v>
      </c>
      <c r="AO1753" s="93">
        <f t="shared" si="331"/>
        <v>0</v>
      </c>
      <c r="AP1753" s="93">
        <f t="shared" si="332"/>
        <v>0</v>
      </c>
      <c r="AQ1753" s="94" t="s">
        <v>148</v>
      </c>
      <c r="AV1753" s="93">
        <f t="shared" si="321"/>
        <v>0</v>
      </c>
      <c r="AW1753" s="93">
        <f t="shared" si="322"/>
        <v>0</v>
      </c>
      <c r="AX1753" s="93">
        <f t="shared" si="323"/>
        <v>0</v>
      </c>
      <c r="AY1753" s="94" t="s">
        <v>2136</v>
      </c>
      <c r="AZ1753" s="94" t="s">
        <v>1915</v>
      </c>
      <c r="BA1753" s="88" t="s">
        <v>67</v>
      </c>
      <c r="BC1753" s="93">
        <f t="shared" si="324"/>
        <v>0</v>
      </c>
      <c r="BD1753" s="93">
        <f t="shared" si="325"/>
        <v>0</v>
      </c>
      <c r="BE1753" s="93">
        <v>0</v>
      </c>
      <c r="BF1753" s="93">
        <f t="shared" si="326"/>
        <v>0</v>
      </c>
      <c r="BH1753" s="93">
        <f t="shared" si="327"/>
        <v>0</v>
      </c>
      <c r="BI1753" s="93">
        <f t="shared" si="328"/>
        <v>0</v>
      </c>
      <c r="BJ1753" s="93">
        <f t="shared" si="329"/>
        <v>0</v>
      </c>
      <c r="BK1753" s="93"/>
      <c r="BL1753" s="93">
        <v>735</v>
      </c>
      <c r="BW1753" s="93" t="str">
        <f t="shared" si="330"/>
        <v>21</v>
      </c>
      <c r="BX1753" s="2" t="s">
        <v>2186</v>
      </c>
    </row>
    <row r="1754" spans="1:76" s="81" customFormat="1" ht="25.5" x14ac:dyDescent="0.25">
      <c r="A1754" s="66" t="s">
        <v>2190</v>
      </c>
      <c r="B1754" s="72" t="s">
        <v>55</v>
      </c>
      <c r="C1754" s="72" t="s">
        <v>2188</v>
      </c>
      <c r="D1754" s="174" t="s">
        <v>2189</v>
      </c>
      <c r="E1754" s="174"/>
      <c r="F1754" s="72" t="s">
        <v>203</v>
      </c>
      <c r="G1754" s="90">
        <v>2</v>
      </c>
      <c r="H1754" s="91"/>
      <c r="I1754" s="92" t="s">
        <v>63</v>
      </c>
      <c r="J1754" s="90">
        <f t="shared" si="305"/>
        <v>0</v>
      </c>
      <c r="K1754" s="90">
        <f t="shared" si="306"/>
        <v>0</v>
      </c>
      <c r="L1754" s="90">
        <f t="shared" si="307"/>
        <v>0</v>
      </c>
      <c r="M1754" s="90">
        <f t="shared" si="308"/>
        <v>0</v>
      </c>
      <c r="N1754" s="90">
        <v>0</v>
      </c>
      <c r="O1754" s="90">
        <f t="shared" si="309"/>
        <v>0</v>
      </c>
      <c r="P1754" s="92" t="s">
        <v>578</v>
      </c>
      <c r="Z1754" s="93">
        <f t="shared" si="310"/>
        <v>0</v>
      </c>
      <c r="AB1754" s="93">
        <f t="shared" si="311"/>
        <v>0</v>
      </c>
      <c r="AC1754" s="93">
        <f t="shared" si="312"/>
        <v>0</v>
      </c>
      <c r="AD1754" s="93">
        <f t="shared" si="313"/>
        <v>0</v>
      </c>
      <c r="AE1754" s="93">
        <f t="shared" si="314"/>
        <v>0</v>
      </c>
      <c r="AF1754" s="93">
        <f t="shared" si="315"/>
        <v>0</v>
      </c>
      <c r="AG1754" s="93">
        <f t="shared" si="316"/>
        <v>0</v>
      </c>
      <c r="AH1754" s="93">
        <f t="shared" si="317"/>
        <v>0</v>
      </c>
      <c r="AI1754" s="88" t="s">
        <v>55</v>
      </c>
      <c r="AJ1754" s="93">
        <f t="shared" si="318"/>
        <v>0</v>
      </c>
      <c r="AK1754" s="93">
        <f t="shared" si="319"/>
        <v>0</v>
      </c>
      <c r="AL1754" s="93">
        <f t="shared" si="320"/>
        <v>0</v>
      </c>
      <c r="AN1754" s="93">
        <v>21</v>
      </c>
      <c r="AO1754" s="93">
        <f t="shared" si="331"/>
        <v>0</v>
      </c>
      <c r="AP1754" s="93">
        <f t="shared" si="332"/>
        <v>0</v>
      </c>
      <c r="AQ1754" s="94" t="s">
        <v>148</v>
      </c>
      <c r="AV1754" s="93">
        <f t="shared" si="321"/>
        <v>0</v>
      </c>
      <c r="AW1754" s="93">
        <f t="shared" si="322"/>
        <v>0</v>
      </c>
      <c r="AX1754" s="93">
        <f t="shared" si="323"/>
        <v>0</v>
      </c>
      <c r="AY1754" s="94" t="s">
        <v>2136</v>
      </c>
      <c r="AZ1754" s="94" t="s">
        <v>1915</v>
      </c>
      <c r="BA1754" s="88" t="s">
        <v>67</v>
      </c>
      <c r="BC1754" s="93">
        <f t="shared" si="324"/>
        <v>0</v>
      </c>
      <c r="BD1754" s="93">
        <f t="shared" si="325"/>
        <v>0</v>
      </c>
      <c r="BE1754" s="93">
        <v>0</v>
      </c>
      <c r="BF1754" s="93">
        <f t="shared" si="326"/>
        <v>0</v>
      </c>
      <c r="BH1754" s="93">
        <f t="shared" si="327"/>
        <v>0</v>
      </c>
      <c r="BI1754" s="93">
        <f t="shared" si="328"/>
        <v>0</v>
      </c>
      <c r="BJ1754" s="93">
        <f t="shared" si="329"/>
        <v>0</v>
      </c>
      <c r="BK1754" s="93"/>
      <c r="BL1754" s="93">
        <v>735</v>
      </c>
      <c r="BW1754" s="93" t="str">
        <f t="shared" si="330"/>
        <v>21</v>
      </c>
      <c r="BX1754" s="2" t="s">
        <v>2189</v>
      </c>
    </row>
    <row r="1755" spans="1:76" s="81" customFormat="1" ht="25.5" x14ac:dyDescent="0.25">
      <c r="A1755" s="66" t="s">
        <v>2193</v>
      </c>
      <c r="B1755" s="72" t="s">
        <v>55</v>
      </c>
      <c r="C1755" s="72" t="s">
        <v>2191</v>
      </c>
      <c r="D1755" s="174" t="s">
        <v>2192</v>
      </c>
      <c r="E1755" s="174"/>
      <c r="F1755" s="72" t="s">
        <v>203</v>
      </c>
      <c r="G1755" s="90">
        <v>1</v>
      </c>
      <c r="H1755" s="91"/>
      <c r="I1755" s="92" t="s">
        <v>63</v>
      </c>
      <c r="J1755" s="90">
        <f t="shared" si="305"/>
        <v>0</v>
      </c>
      <c r="K1755" s="90">
        <f t="shared" si="306"/>
        <v>0</v>
      </c>
      <c r="L1755" s="90">
        <f t="shared" si="307"/>
        <v>0</v>
      </c>
      <c r="M1755" s="90">
        <f t="shared" si="308"/>
        <v>0</v>
      </c>
      <c r="N1755" s="90">
        <v>0</v>
      </c>
      <c r="O1755" s="90">
        <f t="shared" si="309"/>
        <v>0</v>
      </c>
      <c r="P1755" s="92" t="s">
        <v>578</v>
      </c>
      <c r="Z1755" s="93">
        <f t="shared" si="310"/>
        <v>0</v>
      </c>
      <c r="AB1755" s="93">
        <f t="shared" si="311"/>
        <v>0</v>
      </c>
      <c r="AC1755" s="93">
        <f t="shared" si="312"/>
        <v>0</v>
      </c>
      <c r="AD1755" s="93">
        <f t="shared" si="313"/>
        <v>0</v>
      </c>
      <c r="AE1755" s="93">
        <f t="shared" si="314"/>
        <v>0</v>
      </c>
      <c r="AF1755" s="93">
        <f t="shared" si="315"/>
        <v>0</v>
      </c>
      <c r="AG1755" s="93">
        <f t="shared" si="316"/>
        <v>0</v>
      </c>
      <c r="AH1755" s="93">
        <f t="shared" si="317"/>
        <v>0</v>
      </c>
      <c r="AI1755" s="88" t="s">
        <v>55</v>
      </c>
      <c r="AJ1755" s="93">
        <f t="shared" si="318"/>
        <v>0</v>
      </c>
      <c r="AK1755" s="93">
        <f t="shared" si="319"/>
        <v>0</v>
      </c>
      <c r="AL1755" s="93">
        <f t="shared" si="320"/>
        <v>0</v>
      </c>
      <c r="AN1755" s="93">
        <v>21</v>
      </c>
      <c r="AO1755" s="93">
        <f t="shared" si="331"/>
        <v>0</v>
      </c>
      <c r="AP1755" s="93">
        <f t="shared" si="332"/>
        <v>0</v>
      </c>
      <c r="AQ1755" s="94" t="s">
        <v>148</v>
      </c>
      <c r="AV1755" s="93">
        <f t="shared" si="321"/>
        <v>0</v>
      </c>
      <c r="AW1755" s="93">
        <f t="shared" si="322"/>
        <v>0</v>
      </c>
      <c r="AX1755" s="93">
        <f t="shared" si="323"/>
        <v>0</v>
      </c>
      <c r="AY1755" s="94" t="s">
        <v>2136</v>
      </c>
      <c r="AZ1755" s="94" t="s">
        <v>1915</v>
      </c>
      <c r="BA1755" s="88" t="s">
        <v>67</v>
      </c>
      <c r="BC1755" s="93">
        <f t="shared" si="324"/>
        <v>0</v>
      </c>
      <c r="BD1755" s="93">
        <f t="shared" si="325"/>
        <v>0</v>
      </c>
      <c r="BE1755" s="93">
        <v>0</v>
      </c>
      <c r="BF1755" s="93">
        <f t="shared" si="326"/>
        <v>0</v>
      </c>
      <c r="BH1755" s="93">
        <f t="shared" si="327"/>
        <v>0</v>
      </c>
      <c r="BI1755" s="93">
        <f t="shared" si="328"/>
        <v>0</v>
      </c>
      <c r="BJ1755" s="93">
        <f t="shared" si="329"/>
        <v>0</v>
      </c>
      <c r="BK1755" s="93"/>
      <c r="BL1755" s="93">
        <v>735</v>
      </c>
      <c r="BW1755" s="93" t="str">
        <f t="shared" si="330"/>
        <v>21</v>
      </c>
      <c r="BX1755" s="2" t="s">
        <v>2192</v>
      </c>
    </row>
    <row r="1756" spans="1:76" s="81" customFormat="1" ht="25.5" x14ac:dyDescent="0.25">
      <c r="A1756" s="66" t="s">
        <v>2196</v>
      </c>
      <c r="B1756" s="72" t="s">
        <v>55</v>
      </c>
      <c r="C1756" s="72" t="s">
        <v>2194</v>
      </c>
      <c r="D1756" s="174" t="s">
        <v>2195</v>
      </c>
      <c r="E1756" s="174"/>
      <c r="F1756" s="72" t="s">
        <v>203</v>
      </c>
      <c r="G1756" s="90">
        <v>1</v>
      </c>
      <c r="H1756" s="91"/>
      <c r="I1756" s="92" t="s">
        <v>63</v>
      </c>
      <c r="J1756" s="90">
        <f t="shared" si="305"/>
        <v>0</v>
      </c>
      <c r="K1756" s="90">
        <f t="shared" si="306"/>
        <v>0</v>
      </c>
      <c r="L1756" s="90">
        <f t="shared" si="307"/>
        <v>0</v>
      </c>
      <c r="M1756" s="90">
        <f t="shared" si="308"/>
        <v>0</v>
      </c>
      <c r="N1756" s="90">
        <v>0</v>
      </c>
      <c r="O1756" s="90">
        <f t="shared" si="309"/>
        <v>0</v>
      </c>
      <c r="P1756" s="92" t="s">
        <v>578</v>
      </c>
      <c r="Z1756" s="93">
        <f t="shared" si="310"/>
        <v>0</v>
      </c>
      <c r="AB1756" s="93">
        <f t="shared" si="311"/>
        <v>0</v>
      </c>
      <c r="AC1756" s="93">
        <f t="shared" si="312"/>
        <v>0</v>
      </c>
      <c r="AD1756" s="93">
        <f t="shared" si="313"/>
        <v>0</v>
      </c>
      <c r="AE1756" s="93">
        <f t="shared" si="314"/>
        <v>0</v>
      </c>
      <c r="AF1756" s="93">
        <f t="shared" si="315"/>
        <v>0</v>
      </c>
      <c r="AG1756" s="93">
        <f t="shared" si="316"/>
        <v>0</v>
      </c>
      <c r="AH1756" s="93">
        <f t="shared" si="317"/>
        <v>0</v>
      </c>
      <c r="AI1756" s="88" t="s">
        <v>55</v>
      </c>
      <c r="AJ1756" s="93">
        <f t="shared" si="318"/>
        <v>0</v>
      </c>
      <c r="AK1756" s="93">
        <f t="shared" si="319"/>
        <v>0</v>
      </c>
      <c r="AL1756" s="93">
        <f t="shared" si="320"/>
        <v>0</v>
      </c>
      <c r="AN1756" s="93">
        <v>21</v>
      </c>
      <c r="AO1756" s="93">
        <f t="shared" si="331"/>
        <v>0</v>
      </c>
      <c r="AP1756" s="93">
        <f t="shared" si="332"/>
        <v>0</v>
      </c>
      <c r="AQ1756" s="94" t="s">
        <v>148</v>
      </c>
      <c r="AV1756" s="93">
        <f t="shared" si="321"/>
        <v>0</v>
      </c>
      <c r="AW1756" s="93">
        <f t="shared" si="322"/>
        <v>0</v>
      </c>
      <c r="AX1756" s="93">
        <f t="shared" si="323"/>
        <v>0</v>
      </c>
      <c r="AY1756" s="94" t="s">
        <v>2136</v>
      </c>
      <c r="AZ1756" s="94" t="s">
        <v>1915</v>
      </c>
      <c r="BA1756" s="88" t="s">
        <v>67</v>
      </c>
      <c r="BC1756" s="93">
        <f t="shared" si="324"/>
        <v>0</v>
      </c>
      <c r="BD1756" s="93">
        <f t="shared" si="325"/>
        <v>0</v>
      </c>
      <c r="BE1756" s="93">
        <v>0</v>
      </c>
      <c r="BF1756" s="93">
        <f t="shared" si="326"/>
        <v>0</v>
      </c>
      <c r="BH1756" s="93">
        <f t="shared" si="327"/>
        <v>0</v>
      </c>
      <c r="BI1756" s="93">
        <f t="shared" si="328"/>
        <v>0</v>
      </c>
      <c r="BJ1756" s="93">
        <f t="shared" si="329"/>
        <v>0</v>
      </c>
      <c r="BK1756" s="93"/>
      <c r="BL1756" s="93">
        <v>735</v>
      </c>
      <c r="BW1756" s="93" t="str">
        <f t="shared" si="330"/>
        <v>21</v>
      </c>
      <c r="BX1756" s="2" t="s">
        <v>2195</v>
      </c>
    </row>
    <row r="1757" spans="1:76" s="81" customFormat="1" ht="25.5" x14ac:dyDescent="0.25">
      <c r="A1757" s="66" t="s">
        <v>2199</v>
      </c>
      <c r="B1757" s="72" t="s">
        <v>55</v>
      </c>
      <c r="C1757" s="72" t="s">
        <v>2197</v>
      </c>
      <c r="D1757" s="174" t="s">
        <v>2198</v>
      </c>
      <c r="E1757" s="174"/>
      <c r="F1757" s="72" t="s">
        <v>203</v>
      </c>
      <c r="G1757" s="90">
        <v>2</v>
      </c>
      <c r="H1757" s="91"/>
      <c r="I1757" s="92" t="s">
        <v>63</v>
      </c>
      <c r="J1757" s="90">
        <f t="shared" si="305"/>
        <v>0</v>
      </c>
      <c r="K1757" s="90">
        <f t="shared" si="306"/>
        <v>0</v>
      </c>
      <c r="L1757" s="90">
        <f t="shared" si="307"/>
        <v>0</v>
      </c>
      <c r="M1757" s="90">
        <f t="shared" si="308"/>
        <v>0</v>
      </c>
      <c r="N1757" s="90">
        <v>0</v>
      </c>
      <c r="O1757" s="90">
        <f t="shared" si="309"/>
        <v>0</v>
      </c>
      <c r="P1757" s="92" t="s">
        <v>578</v>
      </c>
      <c r="Z1757" s="93">
        <f t="shared" si="310"/>
        <v>0</v>
      </c>
      <c r="AB1757" s="93">
        <f t="shared" si="311"/>
        <v>0</v>
      </c>
      <c r="AC1757" s="93">
        <f t="shared" si="312"/>
        <v>0</v>
      </c>
      <c r="AD1757" s="93">
        <f t="shared" si="313"/>
        <v>0</v>
      </c>
      <c r="AE1757" s="93">
        <f t="shared" si="314"/>
        <v>0</v>
      </c>
      <c r="AF1757" s="93">
        <f t="shared" si="315"/>
        <v>0</v>
      </c>
      <c r="AG1757" s="93">
        <f t="shared" si="316"/>
        <v>0</v>
      </c>
      <c r="AH1757" s="93">
        <f t="shared" si="317"/>
        <v>0</v>
      </c>
      <c r="AI1757" s="88" t="s">
        <v>55</v>
      </c>
      <c r="AJ1757" s="93">
        <f t="shared" si="318"/>
        <v>0</v>
      </c>
      <c r="AK1757" s="93">
        <f t="shared" si="319"/>
        <v>0</v>
      </c>
      <c r="AL1757" s="93">
        <f t="shared" si="320"/>
        <v>0</v>
      </c>
      <c r="AN1757" s="93">
        <v>21</v>
      </c>
      <c r="AO1757" s="93">
        <f t="shared" si="331"/>
        <v>0</v>
      </c>
      <c r="AP1757" s="93">
        <f t="shared" si="332"/>
        <v>0</v>
      </c>
      <c r="AQ1757" s="94" t="s">
        <v>148</v>
      </c>
      <c r="AV1757" s="93">
        <f t="shared" si="321"/>
        <v>0</v>
      </c>
      <c r="AW1757" s="93">
        <f t="shared" si="322"/>
        <v>0</v>
      </c>
      <c r="AX1757" s="93">
        <f t="shared" si="323"/>
        <v>0</v>
      </c>
      <c r="AY1757" s="94" t="s">
        <v>2136</v>
      </c>
      <c r="AZ1757" s="94" t="s">
        <v>1915</v>
      </c>
      <c r="BA1757" s="88" t="s">
        <v>67</v>
      </c>
      <c r="BC1757" s="93">
        <f t="shared" si="324"/>
        <v>0</v>
      </c>
      <c r="BD1757" s="93">
        <f t="shared" si="325"/>
        <v>0</v>
      </c>
      <c r="BE1757" s="93">
        <v>0</v>
      </c>
      <c r="BF1757" s="93">
        <f t="shared" si="326"/>
        <v>0</v>
      </c>
      <c r="BH1757" s="93">
        <f t="shared" si="327"/>
        <v>0</v>
      </c>
      <c r="BI1757" s="93">
        <f t="shared" si="328"/>
        <v>0</v>
      </c>
      <c r="BJ1757" s="93">
        <f t="shared" si="329"/>
        <v>0</v>
      </c>
      <c r="BK1757" s="93"/>
      <c r="BL1757" s="93">
        <v>735</v>
      </c>
      <c r="BW1757" s="93" t="str">
        <f t="shared" si="330"/>
        <v>21</v>
      </c>
      <c r="BX1757" s="2" t="s">
        <v>2198</v>
      </c>
    </row>
    <row r="1758" spans="1:76" s="81" customFormat="1" ht="25.5" x14ac:dyDescent="0.25">
      <c r="A1758" s="66" t="s">
        <v>2202</v>
      </c>
      <c r="B1758" s="72" t="s">
        <v>55</v>
      </c>
      <c r="C1758" s="72" t="s">
        <v>2200</v>
      </c>
      <c r="D1758" s="174" t="s">
        <v>2201</v>
      </c>
      <c r="E1758" s="174"/>
      <c r="F1758" s="72" t="s">
        <v>203</v>
      </c>
      <c r="G1758" s="90">
        <v>1</v>
      </c>
      <c r="H1758" s="91"/>
      <c r="I1758" s="92" t="s">
        <v>63</v>
      </c>
      <c r="J1758" s="90">
        <f t="shared" si="305"/>
        <v>0</v>
      </c>
      <c r="K1758" s="90">
        <f t="shared" si="306"/>
        <v>0</v>
      </c>
      <c r="L1758" s="90">
        <f t="shared" si="307"/>
        <v>0</v>
      </c>
      <c r="M1758" s="90">
        <f t="shared" si="308"/>
        <v>0</v>
      </c>
      <c r="N1758" s="90">
        <v>0</v>
      </c>
      <c r="O1758" s="90">
        <f t="shared" si="309"/>
        <v>0</v>
      </c>
      <c r="P1758" s="92" t="s">
        <v>578</v>
      </c>
      <c r="Z1758" s="93">
        <f t="shared" si="310"/>
        <v>0</v>
      </c>
      <c r="AB1758" s="93">
        <f t="shared" si="311"/>
        <v>0</v>
      </c>
      <c r="AC1758" s="93">
        <f t="shared" si="312"/>
        <v>0</v>
      </c>
      <c r="AD1758" s="93">
        <f t="shared" si="313"/>
        <v>0</v>
      </c>
      <c r="AE1758" s="93">
        <f t="shared" si="314"/>
        <v>0</v>
      </c>
      <c r="AF1758" s="93">
        <f t="shared" si="315"/>
        <v>0</v>
      </c>
      <c r="AG1758" s="93">
        <f t="shared" si="316"/>
        <v>0</v>
      </c>
      <c r="AH1758" s="93">
        <f t="shared" si="317"/>
        <v>0</v>
      </c>
      <c r="AI1758" s="88" t="s">
        <v>55</v>
      </c>
      <c r="AJ1758" s="93">
        <f t="shared" si="318"/>
        <v>0</v>
      </c>
      <c r="AK1758" s="93">
        <f t="shared" si="319"/>
        <v>0</v>
      </c>
      <c r="AL1758" s="93">
        <f t="shared" si="320"/>
        <v>0</v>
      </c>
      <c r="AN1758" s="93">
        <v>21</v>
      </c>
      <c r="AO1758" s="93">
        <f t="shared" si="331"/>
        <v>0</v>
      </c>
      <c r="AP1758" s="93">
        <f t="shared" si="332"/>
        <v>0</v>
      </c>
      <c r="AQ1758" s="94" t="s">
        <v>148</v>
      </c>
      <c r="AV1758" s="93">
        <f t="shared" si="321"/>
        <v>0</v>
      </c>
      <c r="AW1758" s="93">
        <f t="shared" si="322"/>
        <v>0</v>
      </c>
      <c r="AX1758" s="93">
        <f t="shared" si="323"/>
        <v>0</v>
      </c>
      <c r="AY1758" s="94" t="s">
        <v>2136</v>
      </c>
      <c r="AZ1758" s="94" t="s">
        <v>1915</v>
      </c>
      <c r="BA1758" s="88" t="s">
        <v>67</v>
      </c>
      <c r="BC1758" s="93">
        <f t="shared" si="324"/>
        <v>0</v>
      </c>
      <c r="BD1758" s="93">
        <f t="shared" si="325"/>
        <v>0</v>
      </c>
      <c r="BE1758" s="93">
        <v>0</v>
      </c>
      <c r="BF1758" s="93">
        <f t="shared" si="326"/>
        <v>0</v>
      </c>
      <c r="BH1758" s="93">
        <f t="shared" si="327"/>
        <v>0</v>
      </c>
      <c r="BI1758" s="93">
        <f t="shared" si="328"/>
        <v>0</v>
      </c>
      <c r="BJ1758" s="93">
        <f t="shared" si="329"/>
        <v>0</v>
      </c>
      <c r="BK1758" s="93"/>
      <c r="BL1758" s="93">
        <v>735</v>
      </c>
      <c r="BW1758" s="93" t="str">
        <f t="shared" si="330"/>
        <v>21</v>
      </c>
      <c r="BX1758" s="2" t="s">
        <v>2201</v>
      </c>
    </row>
    <row r="1759" spans="1:76" s="81" customFormat="1" ht="25.5" x14ac:dyDescent="0.25">
      <c r="A1759" s="66" t="s">
        <v>2205</v>
      </c>
      <c r="B1759" s="72" t="s">
        <v>55</v>
      </c>
      <c r="C1759" s="72" t="s">
        <v>2203</v>
      </c>
      <c r="D1759" s="174" t="s">
        <v>2204</v>
      </c>
      <c r="E1759" s="174"/>
      <c r="F1759" s="72" t="s">
        <v>203</v>
      </c>
      <c r="G1759" s="90">
        <v>9</v>
      </c>
      <c r="H1759" s="91"/>
      <c r="I1759" s="92" t="s">
        <v>63</v>
      </c>
      <c r="J1759" s="90">
        <f t="shared" si="305"/>
        <v>0</v>
      </c>
      <c r="K1759" s="90">
        <f t="shared" si="306"/>
        <v>0</v>
      </c>
      <c r="L1759" s="90">
        <f t="shared" si="307"/>
        <v>0</v>
      </c>
      <c r="M1759" s="90">
        <f t="shared" si="308"/>
        <v>0</v>
      </c>
      <c r="N1759" s="90">
        <v>0</v>
      </c>
      <c r="O1759" s="90">
        <f t="shared" si="309"/>
        <v>0</v>
      </c>
      <c r="P1759" s="92" t="s">
        <v>578</v>
      </c>
      <c r="Z1759" s="93">
        <f t="shared" si="310"/>
        <v>0</v>
      </c>
      <c r="AB1759" s="93">
        <f t="shared" si="311"/>
        <v>0</v>
      </c>
      <c r="AC1759" s="93">
        <f t="shared" si="312"/>
        <v>0</v>
      </c>
      <c r="AD1759" s="93">
        <f t="shared" si="313"/>
        <v>0</v>
      </c>
      <c r="AE1759" s="93">
        <f t="shared" si="314"/>
        <v>0</v>
      </c>
      <c r="AF1759" s="93">
        <f t="shared" si="315"/>
        <v>0</v>
      </c>
      <c r="AG1759" s="93">
        <f t="shared" si="316"/>
        <v>0</v>
      </c>
      <c r="AH1759" s="93">
        <f t="shared" si="317"/>
        <v>0</v>
      </c>
      <c r="AI1759" s="88" t="s">
        <v>55</v>
      </c>
      <c r="AJ1759" s="93">
        <f t="shared" si="318"/>
        <v>0</v>
      </c>
      <c r="AK1759" s="93">
        <f t="shared" si="319"/>
        <v>0</v>
      </c>
      <c r="AL1759" s="93">
        <f t="shared" si="320"/>
        <v>0</v>
      </c>
      <c r="AN1759" s="93">
        <v>21</v>
      </c>
      <c r="AO1759" s="93">
        <f t="shared" si="331"/>
        <v>0</v>
      </c>
      <c r="AP1759" s="93">
        <f t="shared" si="332"/>
        <v>0</v>
      </c>
      <c r="AQ1759" s="94" t="s">
        <v>148</v>
      </c>
      <c r="AV1759" s="93">
        <f t="shared" si="321"/>
        <v>0</v>
      </c>
      <c r="AW1759" s="93">
        <f t="shared" si="322"/>
        <v>0</v>
      </c>
      <c r="AX1759" s="93">
        <f t="shared" si="323"/>
        <v>0</v>
      </c>
      <c r="AY1759" s="94" t="s">
        <v>2136</v>
      </c>
      <c r="AZ1759" s="94" t="s">
        <v>1915</v>
      </c>
      <c r="BA1759" s="88" t="s">
        <v>67</v>
      </c>
      <c r="BC1759" s="93">
        <f t="shared" si="324"/>
        <v>0</v>
      </c>
      <c r="BD1759" s="93">
        <f t="shared" si="325"/>
        <v>0</v>
      </c>
      <c r="BE1759" s="93">
        <v>0</v>
      </c>
      <c r="BF1759" s="93">
        <f t="shared" si="326"/>
        <v>0</v>
      </c>
      <c r="BH1759" s="93">
        <f t="shared" si="327"/>
        <v>0</v>
      </c>
      <c r="BI1759" s="93">
        <f t="shared" si="328"/>
        <v>0</v>
      </c>
      <c r="BJ1759" s="93">
        <f t="shared" si="329"/>
        <v>0</v>
      </c>
      <c r="BK1759" s="93"/>
      <c r="BL1759" s="93">
        <v>735</v>
      </c>
      <c r="BW1759" s="93" t="str">
        <f t="shared" si="330"/>
        <v>21</v>
      </c>
      <c r="BX1759" s="2" t="s">
        <v>2204</v>
      </c>
    </row>
    <row r="1760" spans="1:76" s="81" customFormat="1" ht="25.5" x14ac:dyDescent="0.25">
      <c r="A1760" s="66" t="s">
        <v>2208</v>
      </c>
      <c r="B1760" s="72" t="s">
        <v>55</v>
      </c>
      <c r="C1760" s="72" t="s">
        <v>2206</v>
      </c>
      <c r="D1760" s="174" t="s">
        <v>2207</v>
      </c>
      <c r="E1760" s="174"/>
      <c r="F1760" s="72" t="s">
        <v>203</v>
      </c>
      <c r="G1760" s="90">
        <v>2</v>
      </c>
      <c r="H1760" s="91"/>
      <c r="I1760" s="92" t="s">
        <v>63</v>
      </c>
      <c r="J1760" s="90">
        <f t="shared" si="305"/>
        <v>0</v>
      </c>
      <c r="K1760" s="90">
        <f t="shared" si="306"/>
        <v>0</v>
      </c>
      <c r="L1760" s="90">
        <f t="shared" si="307"/>
        <v>0</v>
      </c>
      <c r="M1760" s="90">
        <f t="shared" si="308"/>
        <v>0</v>
      </c>
      <c r="N1760" s="90">
        <v>0</v>
      </c>
      <c r="O1760" s="90">
        <f t="shared" si="309"/>
        <v>0</v>
      </c>
      <c r="P1760" s="92" t="s">
        <v>578</v>
      </c>
      <c r="Z1760" s="93">
        <f t="shared" si="310"/>
        <v>0</v>
      </c>
      <c r="AB1760" s="93">
        <f t="shared" si="311"/>
        <v>0</v>
      </c>
      <c r="AC1760" s="93">
        <f t="shared" si="312"/>
        <v>0</v>
      </c>
      <c r="AD1760" s="93">
        <f t="shared" si="313"/>
        <v>0</v>
      </c>
      <c r="AE1760" s="93">
        <f t="shared" si="314"/>
        <v>0</v>
      </c>
      <c r="AF1760" s="93">
        <f t="shared" si="315"/>
        <v>0</v>
      </c>
      <c r="AG1760" s="93">
        <f t="shared" si="316"/>
        <v>0</v>
      </c>
      <c r="AH1760" s="93">
        <f t="shared" si="317"/>
        <v>0</v>
      </c>
      <c r="AI1760" s="88" t="s">
        <v>55</v>
      </c>
      <c r="AJ1760" s="93">
        <f t="shared" si="318"/>
        <v>0</v>
      </c>
      <c r="AK1760" s="93">
        <f t="shared" si="319"/>
        <v>0</v>
      </c>
      <c r="AL1760" s="93">
        <f t="shared" si="320"/>
        <v>0</v>
      </c>
      <c r="AN1760" s="93">
        <v>21</v>
      </c>
      <c r="AO1760" s="93">
        <f t="shared" si="331"/>
        <v>0</v>
      </c>
      <c r="AP1760" s="93">
        <f t="shared" si="332"/>
        <v>0</v>
      </c>
      <c r="AQ1760" s="94" t="s">
        <v>148</v>
      </c>
      <c r="AV1760" s="93">
        <f t="shared" si="321"/>
        <v>0</v>
      </c>
      <c r="AW1760" s="93">
        <f t="shared" si="322"/>
        <v>0</v>
      </c>
      <c r="AX1760" s="93">
        <f t="shared" si="323"/>
        <v>0</v>
      </c>
      <c r="AY1760" s="94" t="s">
        <v>2136</v>
      </c>
      <c r="AZ1760" s="94" t="s">
        <v>1915</v>
      </c>
      <c r="BA1760" s="88" t="s">
        <v>67</v>
      </c>
      <c r="BC1760" s="93">
        <f t="shared" si="324"/>
        <v>0</v>
      </c>
      <c r="BD1760" s="93">
        <f t="shared" si="325"/>
        <v>0</v>
      </c>
      <c r="BE1760" s="93">
        <v>0</v>
      </c>
      <c r="BF1760" s="93">
        <f t="shared" si="326"/>
        <v>0</v>
      </c>
      <c r="BH1760" s="93">
        <f t="shared" si="327"/>
        <v>0</v>
      </c>
      <c r="BI1760" s="93">
        <f t="shared" si="328"/>
        <v>0</v>
      </c>
      <c r="BJ1760" s="93">
        <f t="shared" si="329"/>
        <v>0</v>
      </c>
      <c r="BK1760" s="93"/>
      <c r="BL1760" s="93">
        <v>735</v>
      </c>
      <c r="BW1760" s="93" t="str">
        <f t="shared" si="330"/>
        <v>21</v>
      </c>
      <c r="BX1760" s="2" t="s">
        <v>2207</v>
      </c>
    </row>
    <row r="1761" spans="1:76" s="81" customFormat="1" ht="25.5" x14ac:dyDescent="0.25">
      <c r="A1761" s="66" t="s">
        <v>2211</v>
      </c>
      <c r="B1761" s="72" t="s">
        <v>55</v>
      </c>
      <c r="C1761" s="72" t="s">
        <v>2209</v>
      </c>
      <c r="D1761" s="174" t="s">
        <v>2210</v>
      </c>
      <c r="E1761" s="174"/>
      <c r="F1761" s="72" t="s">
        <v>203</v>
      </c>
      <c r="G1761" s="90">
        <v>1</v>
      </c>
      <c r="H1761" s="91"/>
      <c r="I1761" s="92" t="s">
        <v>63</v>
      </c>
      <c r="J1761" s="90">
        <f t="shared" si="305"/>
        <v>0</v>
      </c>
      <c r="K1761" s="90">
        <f t="shared" si="306"/>
        <v>0</v>
      </c>
      <c r="L1761" s="90">
        <f t="shared" si="307"/>
        <v>0</v>
      </c>
      <c r="M1761" s="90">
        <f t="shared" si="308"/>
        <v>0</v>
      </c>
      <c r="N1761" s="90">
        <v>0</v>
      </c>
      <c r="O1761" s="90">
        <f t="shared" si="309"/>
        <v>0</v>
      </c>
      <c r="P1761" s="92" t="s">
        <v>578</v>
      </c>
      <c r="Z1761" s="93">
        <f t="shared" si="310"/>
        <v>0</v>
      </c>
      <c r="AB1761" s="93">
        <f t="shared" si="311"/>
        <v>0</v>
      </c>
      <c r="AC1761" s="93">
        <f t="shared" si="312"/>
        <v>0</v>
      </c>
      <c r="AD1761" s="93">
        <f t="shared" si="313"/>
        <v>0</v>
      </c>
      <c r="AE1761" s="93">
        <f t="shared" si="314"/>
        <v>0</v>
      </c>
      <c r="AF1761" s="93">
        <f t="shared" si="315"/>
        <v>0</v>
      </c>
      <c r="AG1761" s="93">
        <f t="shared" si="316"/>
        <v>0</v>
      </c>
      <c r="AH1761" s="93">
        <f t="shared" si="317"/>
        <v>0</v>
      </c>
      <c r="AI1761" s="88" t="s">
        <v>55</v>
      </c>
      <c r="AJ1761" s="93">
        <f t="shared" si="318"/>
        <v>0</v>
      </c>
      <c r="AK1761" s="93">
        <f t="shared" si="319"/>
        <v>0</v>
      </c>
      <c r="AL1761" s="93">
        <f t="shared" si="320"/>
        <v>0</v>
      </c>
      <c r="AN1761" s="93">
        <v>21</v>
      </c>
      <c r="AO1761" s="93">
        <f t="shared" si="331"/>
        <v>0</v>
      </c>
      <c r="AP1761" s="93">
        <f t="shared" si="332"/>
        <v>0</v>
      </c>
      <c r="AQ1761" s="94" t="s">
        <v>148</v>
      </c>
      <c r="AV1761" s="93">
        <f t="shared" si="321"/>
        <v>0</v>
      </c>
      <c r="AW1761" s="93">
        <f t="shared" si="322"/>
        <v>0</v>
      </c>
      <c r="AX1761" s="93">
        <f t="shared" si="323"/>
        <v>0</v>
      </c>
      <c r="AY1761" s="94" t="s">
        <v>2136</v>
      </c>
      <c r="AZ1761" s="94" t="s">
        <v>1915</v>
      </c>
      <c r="BA1761" s="88" t="s">
        <v>67</v>
      </c>
      <c r="BC1761" s="93">
        <f t="shared" si="324"/>
        <v>0</v>
      </c>
      <c r="BD1761" s="93">
        <f t="shared" si="325"/>
        <v>0</v>
      </c>
      <c r="BE1761" s="93">
        <v>0</v>
      </c>
      <c r="BF1761" s="93">
        <f t="shared" si="326"/>
        <v>0</v>
      </c>
      <c r="BH1761" s="93">
        <f t="shared" si="327"/>
        <v>0</v>
      </c>
      <c r="BI1761" s="93">
        <f t="shared" si="328"/>
        <v>0</v>
      </c>
      <c r="BJ1761" s="93">
        <f t="shared" si="329"/>
        <v>0</v>
      </c>
      <c r="BK1761" s="93"/>
      <c r="BL1761" s="93">
        <v>735</v>
      </c>
      <c r="BW1761" s="93" t="str">
        <f t="shared" si="330"/>
        <v>21</v>
      </c>
      <c r="BX1761" s="2" t="s">
        <v>2210</v>
      </c>
    </row>
    <row r="1762" spans="1:76" s="81" customFormat="1" ht="25.5" x14ac:dyDescent="0.25">
      <c r="A1762" s="66" t="s">
        <v>2214</v>
      </c>
      <c r="B1762" s="72" t="s">
        <v>55</v>
      </c>
      <c r="C1762" s="72" t="s">
        <v>2212</v>
      </c>
      <c r="D1762" s="174" t="s">
        <v>2213</v>
      </c>
      <c r="E1762" s="174"/>
      <c r="F1762" s="72" t="s">
        <v>203</v>
      </c>
      <c r="G1762" s="90">
        <v>1</v>
      </c>
      <c r="H1762" s="91"/>
      <c r="I1762" s="92" t="s">
        <v>63</v>
      </c>
      <c r="J1762" s="90">
        <f t="shared" si="305"/>
        <v>0</v>
      </c>
      <c r="K1762" s="90">
        <f t="shared" si="306"/>
        <v>0</v>
      </c>
      <c r="L1762" s="90">
        <f t="shared" si="307"/>
        <v>0</v>
      </c>
      <c r="M1762" s="90">
        <f t="shared" si="308"/>
        <v>0</v>
      </c>
      <c r="N1762" s="90">
        <v>0</v>
      </c>
      <c r="O1762" s="90">
        <f t="shared" si="309"/>
        <v>0</v>
      </c>
      <c r="P1762" s="92" t="s">
        <v>578</v>
      </c>
      <c r="Z1762" s="93">
        <f t="shared" si="310"/>
        <v>0</v>
      </c>
      <c r="AB1762" s="93">
        <f t="shared" si="311"/>
        <v>0</v>
      </c>
      <c r="AC1762" s="93">
        <f t="shared" si="312"/>
        <v>0</v>
      </c>
      <c r="AD1762" s="93">
        <f t="shared" si="313"/>
        <v>0</v>
      </c>
      <c r="AE1762" s="93">
        <f t="shared" si="314"/>
        <v>0</v>
      </c>
      <c r="AF1762" s="93">
        <f t="shared" si="315"/>
        <v>0</v>
      </c>
      <c r="AG1762" s="93">
        <f t="shared" si="316"/>
        <v>0</v>
      </c>
      <c r="AH1762" s="93">
        <f t="shared" si="317"/>
        <v>0</v>
      </c>
      <c r="AI1762" s="88" t="s">
        <v>55</v>
      </c>
      <c r="AJ1762" s="93">
        <f t="shared" si="318"/>
        <v>0</v>
      </c>
      <c r="AK1762" s="93">
        <f t="shared" si="319"/>
        <v>0</v>
      </c>
      <c r="AL1762" s="93">
        <f t="shared" si="320"/>
        <v>0</v>
      </c>
      <c r="AN1762" s="93">
        <v>21</v>
      </c>
      <c r="AO1762" s="93">
        <f t="shared" si="331"/>
        <v>0</v>
      </c>
      <c r="AP1762" s="93">
        <f t="shared" si="332"/>
        <v>0</v>
      </c>
      <c r="AQ1762" s="94" t="s">
        <v>148</v>
      </c>
      <c r="AV1762" s="93">
        <f t="shared" si="321"/>
        <v>0</v>
      </c>
      <c r="AW1762" s="93">
        <f t="shared" si="322"/>
        <v>0</v>
      </c>
      <c r="AX1762" s="93">
        <f t="shared" si="323"/>
        <v>0</v>
      </c>
      <c r="AY1762" s="94" t="s">
        <v>2136</v>
      </c>
      <c r="AZ1762" s="94" t="s">
        <v>1915</v>
      </c>
      <c r="BA1762" s="88" t="s">
        <v>67</v>
      </c>
      <c r="BC1762" s="93">
        <f t="shared" si="324"/>
        <v>0</v>
      </c>
      <c r="BD1762" s="93">
        <f t="shared" si="325"/>
        <v>0</v>
      </c>
      <c r="BE1762" s="93">
        <v>0</v>
      </c>
      <c r="BF1762" s="93">
        <f t="shared" si="326"/>
        <v>0</v>
      </c>
      <c r="BH1762" s="93">
        <f t="shared" si="327"/>
        <v>0</v>
      </c>
      <c r="BI1762" s="93">
        <f t="shared" si="328"/>
        <v>0</v>
      </c>
      <c r="BJ1762" s="93">
        <f t="shared" si="329"/>
        <v>0</v>
      </c>
      <c r="BK1762" s="93"/>
      <c r="BL1762" s="93">
        <v>735</v>
      </c>
      <c r="BW1762" s="93" t="str">
        <f t="shared" si="330"/>
        <v>21</v>
      </c>
      <c r="BX1762" s="2" t="s">
        <v>2213</v>
      </c>
    </row>
    <row r="1763" spans="1:76" s="81" customFormat="1" ht="25.5" x14ac:dyDescent="0.25">
      <c r="A1763" s="66" t="s">
        <v>2217</v>
      </c>
      <c r="B1763" s="72" t="s">
        <v>55</v>
      </c>
      <c r="C1763" s="72" t="s">
        <v>2215</v>
      </c>
      <c r="D1763" s="174" t="s">
        <v>2216</v>
      </c>
      <c r="E1763" s="174"/>
      <c r="F1763" s="72" t="s">
        <v>203</v>
      </c>
      <c r="G1763" s="90">
        <v>6</v>
      </c>
      <c r="H1763" s="91"/>
      <c r="I1763" s="92" t="s">
        <v>63</v>
      </c>
      <c r="J1763" s="90">
        <f t="shared" si="305"/>
        <v>0</v>
      </c>
      <c r="K1763" s="90">
        <f t="shared" si="306"/>
        <v>0</v>
      </c>
      <c r="L1763" s="90">
        <f t="shared" si="307"/>
        <v>0</v>
      </c>
      <c r="M1763" s="90">
        <f t="shared" si="308"/>
        <v>0</v>
      </c>
      <c r="N1763" s="90">
        <v>0</v>
      </c>
      <c r="O1763" s="90">
        <f t="shared" si="309"/>
        <v>0</v>
      </c>
      <c r="P1763" s="92" t="s">
        <v>578</v>
      </c>
      <c r="Z1763" s="93">
        <f t="shared" si="310"/>
        <v>0</v>
      </c>
      <c r="AB1763" s="93">
        <f t="shared" si="311"/>
        <v>0</v>
      </c>
      <c r="AC1763" s="93">
        <f t="shared" si="312"/>
        <v>0</v>
      </c>
      <c r="AD1763" s="93">
        <f t="shared" si="313"/>
        <v>0</v>
      </c>
      <c r="AE1763" s="93">
        <f t="shared" si="314"/>
        <v>0</v>
      </c>
      <c r="AF1763" s="93">
        <f t="shared" si="315"/>
        <v>0</v>
      </c>
      <c r="AG1763" s="93">
        <f t="shared" si="316"/>
        <v>0</v>
      </c>
      <c r="AH1763" s="93">
        <f t="shared" si="317"/>
        <v>0</v>
      </c>
      <c r="AI1763" s="88" t="s">
        <v>55</v>
      </c>
      <c r="AJ1763" s="93">
        <f t="shared" si="318"/>
        <v>0</v>
      </c>
      <c r="AK1763" s="93">
        <f t="shared" si="319"/>
        <v>0</v>
      </c>
      <c r="AL1763" s="93">
        <f t="shared" si="320"/>
        <v>0</v>
      </c>
      <c r="AN1763" s="93">
        <v>21</v>
      </c>
      <c r="AO1763" s="93">
        <f t="shared" si="331"/>
        <v>0</v>
      </c>
      <c r="AP1763" s="93">
        <f t="shared" si="332"/>
        <v>0</v>
      </c>
      <c r="AQ1763" s="94" t="s">
        <v>148</v>
      </c>
      <c r="AV1763" s="93">
        <f t="shared" si="321"/>
        <v>0</v>
      </c>
      <c r="AW1763" s="93">
        <f t="shared" si="322"/>
        <v>0</v>
      </c>
      <c r="AX1763" s="93">
        <f t="shared" si="323"/>
        <v>0</v>
      </c>
      <c r="AY1763" s="94" t="s">
        <v>2136</v>
      </c>
      <c r="AZ1763" s="94" t="s">
        <v>1915</v>
      </c>
      <c r="BA1763" s="88" t="s">
        <v>67</v>
      </c>
      <c r="BC1763" s="93">
        <f t="shared" si="324"/>
        <v>0</v>
      </c>
      <c r="BD1763" s="93">
        <f t="shared" si="325"/>
        <v>0</v>
      </c>
      <c r="BE1763" s="93">
        <v>0</v>
      </c>
      <c r="BF1763" s="93">
        <f t="shared" si="326"/>
        <v>0</v>
      </c>
      <c r="BH1763" s="93">
        <f t="shared" si="327"/>
        <v>0</v>
      </c>
      <c r="BI1763" s="93">
        <f t="shared" si="328"/>
        <v>0</v>
      </c>
      <c r="BJ1763" s="93">
        <f t="shared" si="329"/>
        <v>0</v>
      </c>
      <c r="BK1763" s="93"/>
      <c r="BL1763" s="93">
        <v>735</v>
      </c>
      <c r="BW1763" s="93" t="str">
        <f t="shared" si="330"/>
        <v>21</v>
      </c>
      <c r="BX1763" s="2" t="s">
        <v>2216</v>
      </c>
    </row>
    <row r="1764" spans="1:76" s="81" customFormat="1" ht="25.5" x14ac:dyDescent="0.25">
      <c r="A1764" s="66" t="s">
        <v>2220</v>
      </c>
      <c r="B1764" s="72" t="s">
        <v>55</v>
      </c>
      <c r="C1764" s="72" t="s">
        <v>2218</v>
      </c>
      <c r="D1764" s="174" t="s">
        <v>2219</v>
      </c>
      <c r="E1764" s="174"/>
      <c r="F1764" s="72" t="s">
        <v>203</v>
      </c>
      <c r="G1764" s="90">
        <v>3</v>
      </c>
      <c r="H1764" s="91"/>
      <c r="I1764" s="92" t="s">
        <v>63</v>
      </c>
      <c r="J1764" s="90">
        <f t="shared" si="305"/>
        <v>0</v>
      </c>
      <c r="K1764" s="90">
        <f t="shared" si="306"/>
        <v>0</v>
      </c>
      <c r="L1764" s="90">
        <f t="shared" si="307"/>
        <v>0</v>
      </c>
      <c r="M1764" s="90">
        <f t="shared" si="308"/>
        <v>0</v>
      </c>
      <c r="N1764" s="90">
        <v>0</v>
      </c>
      <c r="O1764" s="90">
        <f t="shared" si="309"/>
        <v>0</v>
      </c>
      <c r="P1764" s="92" t="s">
        <v>578</v>
      </c>
      <c r="Z1764" s="93">
        <f t="shared" si="310"/>
        <v>0</v>
      </c>
      <c r="AB1764" s="93">
        <f t="shared" si="311"/>
        <v>0</v>
      </c>
      <c r="AC1764" s="93">
        <f t="shared" si="312"/>
        <v>0</v>
      </c>
      <c r="AD1764" s="93">
        <f t="shared" si="313"/>
        <v>0</v>
      </c>
      <c r="AE1764" s="93">
        <f t="shared" si="314"/>
        <v>0</v>
      </c>
      <c r="AF1764" s="93">
        <f t="shared" si="315"/>
        <v>0</v>
      </c>
      <c r="AG1764" s="93">
        <f t="shared" si="316"/>
        <v>0</v>
      </c>
      <c r="AH1764" s="93">
        <f t="shared" si="317"/>
        <v>0</v>
      </c>
      <c r="AI1764" s="88" t="s">
        <v>55</v>
      </c>
      <c r="AJ1764" s="93">
        <f t="shared" si="318"/>
        <v>0</v>
      </c>
      <c r="AK1764" s="93">
        <f t="shared" si="319"/>
        <v>0</v>
      </c>
      <c r="AL1764" s="93">
        <f t="shared" si="320"/>
        <v>0</v>
      </c>
      <c r="AN1764" s="93">
        <v>21</v>
      </c>
      <c r="AO1764" s="93">
        <f t="shared" si="331"/>
        <v>0</v>
      </c>
      <c r="AP1764" s="93">
        <f t="shared" si="332"/>
        <v>0</v>
      </c>
      <c r="AQ1764" s="94" t="s">
        <v>148</v>
      </c>
      <c r="AV1764" s="93">
        <f t="shared" si="321"/>
        <v>0</v>
      </c>
      <c r="AW1764" s="93">
        <f t="shared" si="322"/>
        <v>0</v>
      </c>
      <c r="AX1764" s="93">
        <f t="shared" si="323"/>
        <v>0</v>
      </c>
      <c r="AY1764" s="94" t="s">
        <v>2136</v>
      </c>
      <c r="AZ1764" s="94" t="s">
        <v>1915</v>
      </c>
      <c r="BA1764" s="88" t="s">
        <v>67</v>
      </c>
      <c r="BC1764" s="93">
        <f t="shared" si="324"/>
        <v>0</v>
      </c>
      <c r="BD1764" s="93">
        <f t="shared" si="325"/>
        <v>0</v>
      </c>
      <c r="BE1764" s="93">
        <v>0</v>
      </c>
      <c r="BF1764" s="93">
        <f t="shared" si="326"/>
        <v>0</v>
      </c>
      <c r="BH1764" s="93">
        <f t="shared" si="327"/>
        <v>0</v>
      </c>
      <c r="BI1764" s="93">
        <f t="shared" si="328"/>
        <v>0</v>
      </c>
      <c r="BJ1764" s="93">
        <f t="shared" si="329"/>
        <v>0</v>
      </c>
      <c r="BK1764" s="93"/>
      <c r="BL1764" s="93">
        <v>735</v>
      </c>
      <c r="BW1764" s="93" t="str">
        <f t="shared" si="330"/>
        <v>21</v>
      </c>
      <c r="BX1764" s="2" t="s">
        <v>2219</v>
      </c>
    </row>
    <row r="1765" spans="1:76" s="81" customFormat="1" ht="25.5" x14ac:dyDescent="0.25">
      <c r="A1765" s="66" t="s">
        <v>2223</v>
      </c>
      <c r="B1765" s="72" t="s">
        <v>55</v>
      </c>
      <c r="C1765" s="72" t="s">
        <v>2221</v>
      </c>
      <c r="D1765" s="174" t="s">
        <v>2222</v>
      </c>
      <c r="E1765" s="174"/>
      <c r="F1765" s="72" t="s">
        <v>203</v>
      </c>
      <c r="G1765" s="90">
        <v>1</v>
      </c>
      <c r="H1765" s="91"/>
      <c r="I1765" s="92" t="s">
        <v>63</v>
      </c>
      <c r="J1765" s="90">
        <f t="shared" si="305"/>
        <v>0</v>
      </c>
      <c r="K1765" s="90">
        <f t="shared" si="306"/>
        <v>0</v>
      </c>
      <c r="L1765" s="90">
        <f t="shared" si="307"/>
        <v>0</v>
      </c>
      <c r="M1765" s="90">
        <f t="shared" si="308"/>
        <v>0</v>
      </c>
      <c r="N1765" s="90">
        <v>0</v>
      </c>
      <c r="O1765" s="90">
        <f t="shared" si="309"/>
        <v>0</v>
      </c>
      <c r="P1765" s="92" t="s">
        <v>578</v>
      </c>
      <c r="Z1765" s="93">
        <f t="shared" si="310"/>
        <v>0</v>
      </c>
      <c r="AB1765" s="93">
        <f t="shared" si="311"/>
        <v>0</v>
      </c>
      <c r="AC1765" s="93">
        <f t="shared" si="312"/>
        <v>0</v>
      </c>
      <c r="AD1765" s="93">
        <f t="shared" si="313"/>
        <v>0</v>
      </c>
      <c r="AE1765" s="93">
        <f t="shared" si="314"/>
        <v>0</v>
      </c>
      <c r="AF1765" s="93">
        <f t="shared" si="315"/>
        <v>0</v>
      </c>
      <c r="AG1765" s="93">
        <f t="shared" si="316"/>
        <v>0</v>
      </c>
      <c r="AH1765" s="93">
        <f t="shared" si="317"/>
        <v>0</v>
      </c>
      <c r="AI1765" s="88" t="s">
        <v>55</v>
      </c>
      <c r="AJ1765" s="93">
        <f t="shared" si="318"/>
        <v>0</v>
      </c>
      <c r="AK1765" s="93">
        <f t="shared" si="319"/>
        <v>0</v>
      </c>
      <c r="AL1765" s="93">
        <f t="shared" si="320"/>
        <v>0</v>
      </c>
      <c r="AN1765" s="93">
        <v>21</v>
      </c>
      <c r="AO1765" s="93">
        <f t="shared" si="331"/>
        <v>0</v>
      </c>
      <c r="AP1765" s="93">
        <f t="shared" si="332"/>
        <v>0</v>
      </c>
      <c r="AQ1765" s="94" t="s">
        <v>148</v>
      </c>
      <c r="AV1765" s="93">
        <f t="shared" si="321"/>
        <v>0</v>
      </c>
      <c r="AW1765" s="93">
        <f t="shared" si="322"/>
        <v>0</v>
      </c>
      <c r="AX1765" s="93">
        <f t="shared" si="323"/>
        <v>0</v>
      </c>
      <c r="AY1765" s="94" t="s">
        <v>2136</v>
      </c>
      <c r="AZ1765" s="94" t="s">
        <v>1915</v>
      </c>
      <c r="BA1765" s="88" t="s">
        <v>67</v>
      </c>
      <c r="BC1765" s="93">
        <f t="shared" si="324"/>
        <v>0</v>
      </c>
      <c r="BD1765" s="93">
        <f t="shared" si="325"/>
        <v>0</v>
      </c>
      <c r="BE1765" s="93">
        <v>0</v>
      </c>
      <c r="BF1765" s="93">
        <f t="shared" si="326"/>
        <v>0</v>
      </c>
      <c r="BH1765" s="93">
        <f t="shared" si="327"/>
        <v>0</v>
      </c>
      <c r="BI1765" s="93">
        <f t="shared" si="328"/>
        <v>0</v>
      </c>
      <c r="BJ1765" s="93">
        <f t="shared" si="329"/>
        <v>0</v>
      </c>
      <c r="BK1765" s="93"/>
      <c r="BL1765" s="93">
        <v>735</v>
      </c>
      <c r="BW1765" s="93" t="str">
        <f t="shared" si="330"/>
        <v>21</v>
      </c>
      <c r="BX1765" s="2" t="s">
        <v>2222</v>
      </c>
    </row>
    <row r="1766" spans="1:76" s="81" customFormat="1" ht="25.5" x14ac:dyDescent="0.25">
      <c r="A1766" s="66" t="s">
        <v>2226</v>
      </c>
      <c r="B1766" s="72" t="s">
        <v>55</v>
      </c>
      <c r="C1766" s="72" t="s">
        <v>2224</v>
      </c>
      <c r="D1766" s="174" t="s">
        <v>2225</v>
      </c>
      <c r="E1766" s="174"/>
      <c r="F1766" s="72" t="s">
        <v>203</v>
      </c>
      <c r="G1766" s="90">
        <v>5</v>
      </c>
      <c r="H1766" s="91"/>
      <c r="I1766" s="92" t="s">
        <v>63</v>
      </c>
      <c r="J1766" s="90">
        <f t="shared" si="305"/>
        <v>0</v>
      </c>
      <c r="K1766" s="90">
        <f t="shared" si="306"/>
        <v>0</v>
      </c>
      <c r="L1766" s="90">
        <f t="shared" si="307"/>
        <v>0</v>
      </c>
      <c r="M1766" s="90">
        <f t="shared" si="308"/>
        <v>0</v>
      </c>
      <c r="N1766" s="90">
        <v>0</v>
      </c>
      <c r="O1766" s="90">
        <f t="shared" si="309"/>
        <v>0</v>
      </c>
      <c r="P1766" s="92" t="s">
        <v>578</v>
      </c>
      <c r="Z1766" s="93">
        <f t="shared" si="310"/>
        <v>0</v>
      </c>
      <c r="AB1766" s="93">
        <f t="shared" si="311"/>
        <v>0</v>
      </c>
      <c r="AC1766" s="93">
        <f t="shared" si="312"/>
        <v>0</v>
      </c>
      <c r="AD1766" s="93">
        <f t="shared" si="313"/>
        <v>0</v>
      </c>
      <c r="AE1766" s="93">
        <f t="shared" si="314"/>
        <v>0</v>
      </c>
      <c r="AF1766" s="93">
        <f t="shared" si="315"/>
        <v>0</v>
      </c>
      <c r="AG1766" s="93">
        <f t="shared" si="316"/>
        <v>0</v>
      </c>
      <c r="AH1766" s="93">
        <f t="shared" si="317"/>
        <v>0</v>
      </c>
      <c r="AI1766" s="88" t="s">
        <v>55</v>
      </c>
      <c r="AJ1766" s="93">
        <f t="shared" si="318"/>
        <v>0</v>
      </c>
      <c r="AK1766" s="93">
        <f t="shared" si="319"/>
        <v>0</v>
      </c>
      <c r="AL1766" s="93">
        <f t="shared" si="320"/>
        <v>0</v>
      </c>
      <c r="AN1766" s="93">
        <v>21</v>
      </c>
      <c r="AO1766" s="93">
        <f t="shared" si="331"/>
        <v>0</v>
      </c>
      <c r="AP1766" s="93">
        <f t="shared" si="332"/>
        <v>0</v>
      </c>
      <c r="AQ1766" s="94" t="s">
        <v>148</v>
      </c>
      <c r="AV1766" s="93">
        <f t="shared" si="321"/>
        <v>0</v>
      </c>
      <c r="AW1766" s="93">
        <f t="shared" si="322"/>
        <v>0</v>
      </c>
      <c r="AX1766" s="93">
        <f t="shared" si="323"/>
        <v>0</v>
      </c>
      <c r="AY1766" s="94" t="s">
        <v>2136</v>
      </c>
      <c r="AZ1766" s="94" t="s">
        <v>1915</v>
      </c>
      <c r="BA1766" s="88" t="s">
        <v>67</v>
      </c>
      <c r="BC1766" s="93">
        <f t="shared" si="324"/>
        <v>0</v>
      </c>
      <c r="BD1766" s="93">
        <f t="shared" si="325"/>
        <v>0</v>
      </c>
      <c r="BE1766" s="93">
        <v>0</v>
      </c>
      <c r="BF1766" s="93">
        <f t="shared" si="326"/>
        <v>0</v>
      </c>
      <c r="BH1766" s="93">
        <f t="shared" si="327"/>
        <v>0</v>
      </c>
      <c r="BI1766" s="93">
        <f t="shared" si="328"/>
        <v>0</v>
      </c>
      <c r="BJ1766" s="93">
        <f t="shared" si="329"/>
        <v>0</v>
      </c>
      <c r="BK1766" s="93"/>
      <c r="BL1766" s="93">
        <v>735</v>
      </c>
      <c r="BW1766" s="93" t="str">
        <f t="shared" si="330"/>
        <v>21</v>
      </c>
      <c r="BX1766" s="2" t="s">
        <v>2225</v>
      </c>
    </row>
    <row r="1767" spans="1:76" s="81" customFormat="1" ht="25.5" x14ac:dyDescent="0.25">
      <c r="A1767" s="66" t="s">
        <v>2229</v>
      </c>
      <c r="B1767" s="72" t="s">
        <v>55</v>
      </c>
      <c r="C1767" s="72" t="s">
        <v>2227</v>
      </c>
      <c r="D1767" s="174" t="s">
        <v>2228</v>
      </c>
      <c r="E1767" s="174"/>
      <c r="F1767" s="72" t="s">
        <v>203</v>
      </c>
      <c r="G1767" s="90">
        <v>1</v>
      </c>
      <c r="H1767" s="91"/>
      <c r="I1767" s="92" t="s">
        <v>63</v>
      </c>
      <c r="J1767" s="90">
        <f t="shared" si="305"/>
        <v>0</v>
      </c>
      <c r="K1767" s="90">
        <f t="shared" si="306"/>
        <v>0</v>
      </c>
      <c r="L1767" s="90">
        <f t="shared" si="307"/>
        <v>0</v>
      </c>
      <c r="M1767" s="90">
        <f t="shared" si="308"/>
        <v>0</v>
      </c>
      <c r="N1767" s="90">
        <v>0</v>
      </c>
      <c r="O1767" s="90">
        <f t="shared" si="309"/>
        <v>0</v>
      </c>
      <c r="P1767" s="92" t="s">
        <v>578</v>
      </c>
      <c r="Z1767" s="93">
        <f t="shared" si="310"/>
        <v>0</v>
      </c>
      <c r="AB1767" s="93">
        <f t="shared" si="311"/>
        <v>0</v>
      </c>
      <c r="AC1767" s="93">
        <f t="shared" si="312"/>
        <v>0</v>
      </c>
      <c r="AD1767" s="93">
        <f t="shared" si="313"/>
        <v>0</v>
      </c>
      <c r="AE1767" s="93">
        <f t="shared" si="314"/>
        <v>0</v>
      </c>
      <c r="AF1767" s="93">
        <f t="shared" si="315"/>
        <v>0</v>
      </c>
      <c r="AG1767" s="93">
        <f t="shared" si="316"/>
        <v>0</v>
      </c>
      <c r="AH1767" s="93">
        <f t="shared" si="317"/>
        <v>0</v>
      </c>
      <c r="AI1767" s="88" t="s">
        <v>55</v>
      </c>
      <c r="AJ1767" s="93">
        <f t="shared" si="318"/>
        <v>0</v>
      </c>
      <c r="AK1767" s="93">
        <f t="shared" si="319"/>
        <v>0</v>
      </c>
      <c r="AL1767" s="93">
        <f t="shared" si="320"/>
        <v>0</v>
      </c>
      <c r="AN1767" s="93">
        <v>21</v>
      </c>
      <c r="AO1767" s="93">
        <f t="shared" si="331"/>
        <v>0</v>
      </c>
      <c r="AP1767" s="93">
        <f t="shared" si="332"/>
        <v>0</v>
      </c>
      <c r="AQ1767" s="94" t="s">
        <v>148</v>
      </c>
      <c r="AV1767" s="93">
        <f t="shared" si="321"/>
        <v>0</v>
      </c>
      <c r="AW1767" s="93">
        <f t="shared" si="322"/>
        <v>0</v>
      </c>
      <c r="AX1767" s="93">
        <f t="shared" si="323"/>
        <v>0</v>
      </c>
      <c r="AY1767" s="94" t="s">
        <v>2136</v>
      </c>
      <c r="AZ1767" s="94" t="s">
        <v>1915</v>
      </c>
      <c r="BA1767" s="88" t="s">
        <v>67</v>
      </c>
      <c r="BC1767" s="93">
        <f t="shared" si="324"/>
        <v>0</v>
      </c>
      <c r="BD1767" s="93">
        <f t="shared" si="325"/>
        <v>0</v>
      </c>
      <c r="BE1767" s="93">
        <v>0</v>
      </c>
      <c r="BF1767" s="93">
        <f t="shared" si="326"/>
        <v>0</v>
      </c>
      <c r="BH1767" s="93">
        <f t="shared" si="327"/>
        <v>0</v>
      </c>
      <c r="BI1767" s="93">
        <f t="shared" si="328"/>
        <v>0</v>
      </c>
      <c r="BJ1767" s="93">
        <f t="shared" si="329"/>
        <v>0</v>
      </c>
      <c r="BK1767" s="93"/>
      <c r="BL1767" s="93">
        <v>735</v>
      </c>
      <c r="BW1767" s="93" t="str">
        <f t="shared" si="330"/>
        <v>21</v>
      </c>
      <c r="BX1767" s="2" t="s">
        <v>2228</v>
      </c>
    </row>
    <row r="1768" spans="1:76" s="81" customFormat="1" ht="25.5" x14ac:dyDescent="0.25">
      <c r="A1768" s="66" t="s">
        <v>2232</v>
      </c>
      <c r="B1768" s="72" t="s">
        <v>55</v>
      </c>
      <c r="C1768" s="72" t="s">
        <v>2230</v>
      </c>
      <c r="D1768" s="174" t="s">
        <v>2231</v>
      </c>
      <c r="E1768" s="174"/>
      <c r="F1768" s="72" t="s">
        <v>203</v>
      </c>
      <c r="G1768" s="90">
        <v>2</v>
      </c>
      <c r="H1768" s="91"/>
      <c r="I1768" s="92" t="s">
        <v>63</v>
      </c>
      <c r="J1768" s="90">
        <f t="shared" si="305"/>
        <v>0</v>
      </c>
      <c r="K1768" s="90">
        <f t="shared" si="306"/>
        <v>0</v>
      </c>
      <c r="L1768" s="90">
        <f t="shared" si="307"/>
        <v>0</v>
      </c>
      <c r="M1768" s="90">
        <f t="shared" si="308"/>
        <v>0</v>
      </c>
      <c r="N1768" s="90">
        <v>0</v>
      </c>
      <c r="O1768" s="90">
        <f t="shared" si="309"/>
        <v>0</v>
      </c>
      <c r="P1768" s="92" t="s">
        <v>578</v>
      </c>
      <c r="Z1768" s="93">
        <f t="shared" si="310"/>
        <v>0</v>
      </c>
      <c r="AB1768" s="93">
        <f t="shared" si="311"/>
        <v>0</v>
      </c>
      <c r="AC1768" s="93">
        <f t="shared" si="312"/>
        <v>0</v>
      </c>
      <c r="AD1768" s="93">
        <f t="shared" si="313"/>
        <v>0</v>
      </c>
      <c r="AE1768" s="93">
        <f t="shared" si="314"/>
        <v>0</v>
      </c>
      <c r="AF1768" s="93">
        <f t="shared" si="315"/>
        <v>0</v>
      </c>
      <c r="AG1768" s="93">
        <f t="shared" si="316"/>
        <v>0</v>
      </c>
      <c r="AH1768" s="93">
        <f t="shared" si="317"/>
        <v>0</v>
      </c>
      <c r="AI1768" s="88" t="s">
        <v>55</v>
      </c>
      <c r="AJ1768" s="93">
        <f t="shared" si="318"/>
        <v>0</v>
      </c>
      <c r="AK1768" s="93">
        <f t="shared" si="319"/>
        <v>0</v>
      </c>
      <c r="AL1768" s="93">
        <f t="shared" si="320"/>
        <v>0</v>
      </c>
      <c r="AN1768" s="93">
        <v>21</v>
      </c>
      <c r="AO1768" s="93">
        <f t="shared" si="331"/>
        <v>0</v>
      </c>
      <c r="AP1768" s="93">
        <f t="shared" si="332"/>
        <v>0</v>
      </c>
      <c r="AQ1768" s="94" t="s">
        <v>148</v>
      </c>
      <c r="AV1768" s="93">
        <f t="shared" si="321"/>
        <v>0</v>
      </c>
      <c r="AW1768" s="93">
        <f t="shared" si="322"/>
        <v>0</v>
      </c>
      <c r="AX1768" s="93">
        <f t="shared" si="323"/>
        <v>0</v>
      </c>
      <c r="AY1768" s="94" t="s">
        <v>2136</v>
      </c>
      <c r="AZ1768" s="94" t="s">
        <v>1915</v>
      </c>
      <c r="BA1768" s="88" t="s">
        <v>67</v>
      </c>
      <c r="BC1768" s="93">
        <f t="shared" si="324"/>
        <v>0</v>
      </c>
      <c r="BD1768" s="93">
        <f t="shared" si="325"/>
        <v>0</v>
      </c>
      <c r="BE1768" s="93">
        <v>0</v>
      </c>
      <c r="BF1768" s="93">
        <f t="shared" si="326"/>
        <v>0</v>
      </c>
      <c r="BH1768" s="93">
        <f t="shared" si="327"/>
        <v>0</v>
      </c>
      <c r="BI1768" s="93">
        <f t="shared" si="328"/>
        <v>0</v>
      </c>
      <c r="BJ1768" s="93">
        <f t="shared" si="329"/>
        <v>0</v>
      </c>
      <c r="BK1768" s="93"/>
      <c r="BL1768" s="93">
        <v>735</v>
      </c>
      <c r="BW1768" s="93" t="str">
        <f t="shared" si="330"/>
        <v>21</v>
      </c>
      <c r="BX1768" s="2" t="s">
        <v>2231</v>
      </c>
    </row>
    <row r="1769" spans="1:76" s="81" customFormat="1" ht="25.5" x14ac:dyDescent="0.25">
      <c r="A1769" s="66" t="s">
        <v>2235</v>
      </c>
      <c r="B1769" s="72" t="s">
        <v>55</v>
      </c>
      <c r="C1769" s="72" t="s">
        <v>2233</v>
      </c>
      <c r="D1769" s="174" t="s">
        <v>2234</v>
      </c>
      <c r="E1769" s="174"/>
      <c r="F1769" s="72" t="s">
        <v>203</v>
      </c>
      <c r="G1769" s="90">
        <v>2</v>
      </c>
      <c r="H1769" s="91"/>
      <c r="I1769" s="92" t="s">
        <v>63</v>
      </c>
      <c r="J1769" s="90">
        <f t="shared" si="305"/>
        <v>0</v>
      </c>
      <c r="K1769" s="90">
        <f t="shared" si="306"/>
        <v>0</v>
      </c>
      <c r="L1769" s="90">
        <f t="shared" si="307"/>
        <v>0</v>
      </c>
      <c r="M1769" s="90">
        <f t="shared" si="308"/>
        <v>0</v>
      </c>
      <c r="N1769" s="90">
        <v>0</v>
      </c>
      <c r="O1769" s="90">
        <f t="shared" si="309"/>
        <v>0</v>
      </c>
      <c r="P1769" s="92" t="s">
        <v>578</v>
      </c>
      <c r="Z1769" s="93">
        <f t="shared" si="310"/>
        <v>0</v>
      </c>
      <c r="AB1769" s="93">
        <f t="shared" si="311"/>
        <v>0</v>
      </c>
      <c r="AC1769" s="93">
        <f t="shared" si="312"/>
        <v>0</v>
      </c>
      <c r="AD1769" s="93">
        <f t="shared" si="313"/>
        <v>0</v>
      </c>
      <c r="AE1769" s="93">
        <f t="shared" si="314"/>
        <v>0</v>
      </c>
      <c r="AF1769" s="93">
        <f t="shared" si="315"/>
        <v>0</v>
      </c>
      <c r="AG1769" s="93">
        <f t="shared" si="316"/>
        <v>0</v>
      </c>
      <c r="AH1769" s="93">
        <f t="shared" si="317"/>
        <v>0</v>
      </c>
      <c r="AI1769" s="88" t="s">
        <v>55</v>
      </c>
      <c r="AJ1769" s="93">
        <f t="shared" si="318"/>
        <v>0</v>
      </c>
      <c r="AK1769" s="93">
        <f t="shared" si="319"/>
        <v>0</v>
      </c>
      <c r="AL1769" s="93">
        <f t="shared" si="320"/>
        <v>0</v>
      </c>
      <c r="AN1769" s="93">
        <v>21</v>
      </c>
      <c r="AO1769" s="93">
        <f t="shared" si="331"/>
        <v>0</v>
      </c>
      <c r="AP1769" s="93">
        <f t="shared" si="332"/>
        <v>0</v>
      </c>
      <c r="AQ1769" s="94" t="s">
        <v>148</v>
      </c>
      <c r="AV1769" s="93">
        <f t="shared" si="321"/>
        <v>0</v>
      </c>
      <c r="AW1769" s="93">
        <f t="shared" si="322"/>
        <v>0</v>
      </c>
      <c r="AX1769" s="93">
        <f t="shared" si="323"/>
        <v>0</v>
      </c>
      <c r="AY1769" s="94" t="s">
        <v>2136</v>
      </c>
      <c r="AZ1769" s="94" t="s">
        <v>1915</v>
      </c>
      <c r="BA1769" s="88" t="s">
        <v>67</v>
      </c>
      <c r="BC1769" s="93">
        <f t="shared" si="324"/>
        <v>0</v>
      </c>
      <c r="BD1769" s="93">
        <f t="shared" si="325"/>
        <v>0</v>
      </c>
      <c r="BE1769" s="93">
        <v>0</v>
      </c>
      <c r="BF1769" s="93">
        <f t="shared" si="326"/>
        <v>0</v>
      </c>
      <c r="BH1769" s="93">
        <f t="shared" si="327"/>
        <v>0</v>
      </c>
      <c r="BI1769" s="93">
        <f t="shared" si="328"/>
        <v>0</v>
      </c>
      <c r="BJ1769" s="93">
        <f t="shared" si="329"/>
        <v>0</v>
      </c>
      <c r="BK1769" s="93"/>
      <c r="BL1769" s="93">
        <v>735</v>
      </c>
      <c r="BW1769" s="93" t="str">
        <f t="shared" si="330"/>
        <v>21</v>
      </c>
      <c r="BX1769" s="2" t="s">
        <v>2234</v>
      </c>
    </row>
    <row r="1770" spans="1:76" s="81" customFormat="1" ht="25.5" x14ac:dyDescent="0.25">
      <c r="A1770" s="66" t="s">
        <v>2238</v>
      </c>
      <c r="B1770" s="72" t="s">
        <v>55</v>
      </c>
      <c r="C1770" s="72" t="s">
        <v>2236</v>
      </c>
      <c r="D1770" s="174" t="s">
        <v>2237</v>
      </c>
      <c r="E1770" s="174"/>
      <c r="F1770" s="72" t="s">
        <v>203</v>
      </c>
      <c r="G1770" s="90">
        <v>8</v>
      </c>
      <c r="H1770" s="91"/>
      <c r="I1770" s="92" t="s">
        <v>63</v>
      </c>
      <c r="J1770" s="90">
        <f t="shared" si="305"/>
        <v>0</v>
      </c>
      <c r="K1770" s="90">
        <f t="shared" si="306"/>
        <v>0</v>
      </c>
      <c r="L1770" s="90">
        <f t="shared" si="307"/>
        <v>0</v>
      </c>
      <c r="M1770" s="90">
        <f t="shared" si="308"/>
        <v>0</v>
      </c>
      <c r="N1770" s="90">
        <v>0</v>
      </c>
      <c r="O1770" s="90">
        <f t="shared" si="309"/>
        <v>0</v>
      </c>
      <c r="P1770" s="92" t="s">
        <v>578</v>
      </c>
      <c r="Z1770" s="93">
        <f t="shared" si="310"/>
        <v>0</v>
      </c>
      <c r="AB1770" s="93">
        <f t="shared" si="311"/>
        <v>0</v>
      </c>
      <c r="AC1770" s="93">
        <f t="shared" si="312"/>
        <v>0</v>
      </c>
      <c r="AD1770" s="93">
        <f t="shared" si="313"/>
        <v>0</v>
      </c>
      <c r="AE1770" s="93">
        <f t="shared" si="314"/>
        <v>0</v>
      </c>
      <c r="AF1770" s="93">
        <f t="shared" si="315"/>
        <v>0</v>
      </c>
      <c r="AG1770" s="93">
        <f t="shared" si="316"/>
        <v>0</v>
      </c>
      <c r="AH1770" s="93">
        <f t="shared" si="317"/>
        <v>0</v>
      </c>
      <c r="AI1770" s="88" t="s">
        <v>55</v>
      </c>
      <c r="AJ1770" s="93">
        <f t="shared" si="318"/>
        <v>0</v>
      </c>
      <c r="AK1770" s="93">
        <f t="shared" si="319"/>
        <v>0</v>
      </c>
      <c r="AL1770" s="93">
        <f t="shared" si="320"/>
        <v>0</v>
      </c>
      <c r="AN1770" s="93">
        <v>21</v>
      </c>
      <c r="AO1770" s="93">
        <f t="shared" si="331"/>
        <v>0</v>
      </c>
      <c r="AP1770" s="93">
        <f t="shared" si="332"/>
        <v>0</v>
      </c>
      <c r="AQ1770" s="94" t="s">
        <v>148</v>
      </c>
      <c r="AV1770" s="93">
        <f t="shared" si="321"/>
        <v>0</v>
      </c>
      <c r="AW1770" s="93">
        <f t="shared" si="322"/>
        <v>0</v>
      </c>
      <c r="AX1770" s="93">
        <f t="shared" si="323"/>
        <v>0</v>
      </c>
      <c r="AY1770" s="94" t="s">
        <v>2136</v>
      </c>
      <c r="AZ1770" s="94" t="s">
        <v>1915</v>
      </c>
      <c r="BA1770" s="88" t="s">
        <v>67</v>
      </c>
      <c r="BC1770" s="93">
        <f t="shared" si="324"/>
        <v>0</v>
      </c>
      <c r="BD1770" s="93">
        <f t="shared" si="325"/>
        <v>0</v>
      </c>
      <c r="BE1770" s="93">
        <v>0</v>
      </c>
      <c r="BF1770" s="93">
        <f t="shared" si="326"/>
        <v>0</v>
      </c>
      <c r="BH1770" s="93">
        <f t="shared" si="327"/>
        <v>0</v>
      </c>
      <c r="BI1770" s="93">
        <f t="shared" si="328"/>
        <v>0</v>
      </c>
      <c r="BJ1770" s="93">
        <f t="shared" si="329"/>
        <v>0</v>
      </c>
      <c r="BK1770" s="93"/>
      <c r="BL1770" s="93">
        <v>735</v>
      </c>
      <c r="BW1770" s="93" t="str">
        <f t="shared" si="330"/>
        <v>21</v>
      </c>
      <c r="BX1770" s="2" t="s">
        <v>2237</v>
      </c>
    </row>
    <row r="1771" spans="1:76" s="81" customFormat="1" ht="25.5" x14ac:dyDescent="0.25">
      <c r="A1771" s="66" t="s">
        <v>2243</v>
      </c>
      <c r="B1771" s="72" t="s">
        <v>55</v>
      </c>
      <c r="C1771" s="72" t="s">
        <v>2239</v>
      </c>
      <c r="D1771" s="174" t="s">
        <v>2240</v>
      </c>
      <c r="E1771" s="174"/>
      <c r="F1771" s="72" t="s">
        <v>1447</v>
      </c>
      <c r="G1771" s="91"/>
      <c r="H1771" s="91"/>
      <c r="I1771" s="92" t="s">
        <v>63</v>
      </c>
      <c r="J1771" s="90">
        <f t="shared" si="305"/>
        <v>0</v>
      </c>
      <c r="K1771" s="90">
        <f t="shared" si="306"/>
        <v>0</v>
      </c>
      <c r="L1771" s="90">
        <f t="shared" si="307"/>
        <v>0</v>
      </c>
      <c r="M1771" s="90">
        <f t="shared" si="308"/>
        <v>0</v>
      </c>
      <c r="N1771" s="90">
        <v>0</v>
      </c>
      <c r="O1771" s="90">
        <f t="shared" si="309"/>
        <v>0</v>
      </c>
      <c r="P1771" s="92" t="s">
        <v>64</v>
      </c>
      <c r="Z1771" s="93">
        <f t="shared" si="310"/>
        <v>0</v>
      </c>
      <c r="AB1771" s="93">
        <f t="shared" si="311"/>
        <v>0</v>
      </c>
      <c r="AC1771" s="93">
        <f t="shared" si="312"/>
        <v>0</v>
      </c>
      <c r="AD1771" s="93">
        <f t="shared" si="313"/>
        <v>0</v>
      </c>
      <c r="AE1771" s="93">
        <f t="shared" si="314"/>
        <v>0</v>
      </c>
      <c r="AF1771" s="93">
        <f t="shared" si="315"/>
        <v>0</v>
      </c>
      <c r="AG1771" s="93">
        <f t="shared" si="316"/>
        <v>0</v>
      </c>
      <c r="AH1771" s="93">
        <f t="shared" si="317"/>
        <v>0</v>
      </c>
      <c r="AI1771" s="88" t="s">
        <v>55</v>
      </c>
      <c r="AJ1771" s="93">
        <f t="shared" si="318"/>
        <v>0</v>
      </c>
      <c r="AK1771" s="93">
        <f t="shared" si="319"/>
        <v>0</v>
      </c>
      <c r="AL1771" s="93">
        <f t="shared" si="320"/>
        <v>0</v>
      </c>
      <c r="AN1771" s="93">
        <v>21</v>
      </c>
      <c r="AO1771" s="93">
        <f>H1771*0</f>
        <v>0</v>
      </c>
      <c r="AP1771" s="93">
        <f>H1771*(1-0)</f>
        <v>0</v>
      </c>
      <c r="AQ1771" s="94" t="s">
        <v>136</v>
      </c>
      <c r="AV1771" s="93">
        <f t="shared" si="321"/>
        <v>0</v>
      </c>
      <c r="AW1771" s="93">
        <f t="shared" si="322"/>
        <v>0</v>
      </c>
      <c r="AX1771" s="93">
        <f t="shared" si="323"/>
        <v>0</v>
      </c>
      <c r="AY1771" s="94" t="s">
        <v>2136</v>
      </c>
      <c r="AZ1771" s="94" t="s">
        <v>1915</v>
      </c>
      <c r="BA1771" s="88" t="s">
        <v>67</v>
      </c>
      <c r="BC1771" s="93">
        <f t="shared" si="324"/>
        <v>0</v>
      </c>
      <c r="BD1771" s="93">
        <f t="shared" si="325"/>
        <v>0</v>
      </c>
      <c r="BE1771" s="93">
        <v>0</v>
      </c>
      <c r="BF1771" s="93">
        <f t="shared" si="326"/>
        <v>0</v>
      </c>
      <c r="BH1771" s="93">
        <f t="shared" si="327"/>
        <v>0</v>
      </c>
      <c r="BI1771" s="93">
        <f t="shared" si="328"/>
        <v>0</v>
      </c>
      <c r="BJ1771" s="93">
        <f t="shared" si="329"/>
        <v>0</v>
      </c>
      <c r="BK1771" s="93"/>
      <c r="BL1771" s="93">
        <v>735</v>
      </c>
      <c r="BW1771" s="93" t="str">
        <f t="shared" si="330"/>
        <v>21</v>
      </c>
      <c r="BX1771" s="2" t="s">
        <v>2240</v>
      </c>
    </row>
    <row r="1772" spans="1:76" s="81" customFormat="1" x14ac:dyDescent="0.25">
      <c r="A1772" s="109" t="s">
        <v>54</v>
      </c>
      <c r="B1772" s="74" t="s">
        <v>55</v>
      </c>
      <c r="C1772" s="74" t="s">
        <v>2241</v>
      </c>
      <c r="D1772" s="180" t="s">
        <v>2242</v>
      </c>
      <c r="E1772" s="180"/>
      <c r="F1772" s="85" t="s">
        <v>4</v>
      </c>
      <c r="G1772" s="85" t="s">
        <v>4</v>
      </c>
      <c r="H1772" s="98"/>
      <c r="I1772" s="85" t="s">
        <v>4</v>
      </c>
      <c r="J1772" s="86">
        <f>SUM(J1773:J1781)</f>
        <v>0</v>
      </c>
      <c r="K1772" s="86">
        <f>SUM(K1773:K1781)</f>
        <v>0</v>
      </c>
      <c r="L1772" s="86">
        <f>SUM(L1773:L1781)</f>
        <v>0</v>
      </c>
      <c r="M1772" s="86">
        <f>SUM(M1773:M1781)</f>
        <v>0</v>
      </c>
      <c r="N1772" s="87" t="s">
        <v>54</v>
      </c>
      <c r="O1772" s="86">
        <f>SUM(O1773:O1781)</f>
        <v>1.97575794</v>
      </c>
      <c r="P1772" s="87" t="s">
        <v>54</v>
      </c>
      <c r="AI1772" s="88" t="s">
        <v>55</v>
      </c>
      <c r="AS1772" s="89">
        <f>SUM(AJ1773:AJ1781)</f>
        <v>0</v>
      </c>
      <c r="AT1772" s="89">
        <f>SUM(AK1773:AK1781)</f>
        <v>0</v>
      </c>
      <c r="AU1772" s="89">
        <f>SUM(AL1773:AL1781)</f>
        <v>0</v>
      </c>
    </row>
    <row r="1773" spans="1:76" s="81" customFormat="1" ht="25.5" x14ac:dyDescent="0.25">
      <c r="A1773" s="66" t="s">
        <v>2249</v>
      </c>
      <c r="B1773" s="72" t="s">
        <v>55</v>
      </c>
      <c r="C1773" s="72" t="s">
        <v>2244</v>
      </c>
      <c r="D1773" s="174" t="s">
        <v>2245</v>
      </c>
      <c r="E1773" s="174"/>
      <c r="F1773" s="72" t="s">
        <v>192</v>
      </c>
      <c r="G1773" s="90">
        <v>140.7235</v>
      </c>
      <c r="H1773" s="91"/>
      <c r="I1773" s="92" t="s">
        <v>63</v>
      </c>
      <c r="J1773" s="90">
        <f>G1773*AO1773</f>
        <v>0</v>
      </c>
      <c r="K1773" s="90">
        <f>G1773*AP1773</f>
        <v>0</v>
      </c>
      <c r="L1773" s="90">
        <f>G1773*H1773</f>
        <v>0</v>
      </c>
      <c r="M1773" s="90">
        <f>L1773*(1+BW1773/100)</f>
        <v>0</v>
      </c>
      <c r="N1773" s="90">
        <v>1.404E-2</v>
      </c>
      <c r="O1773" s="90">
        <f>G1773*N1773</f>
        <v>1.97575794</v>
      </c>
      <c r="P1773" s="92" t="s">
        <v>64</v>
      </c>
      <c r="Z1773" s="93">
        <f>IF(AQ1773="5",BJ1773,0)</f>
        <v>0</v>
      </c>
      <c r="AB1773" s="93">
        <f>IF(AQ1773="1",BH1773,0)</f>
        <v>0</v>
      </c>
      <c r="AC1773" s="93">
        <f>IF(AQ1773="1",BI1773,0)</f>
        <v>0</v>
      </c>
      <c r="AD1773" s="93">
        <f>IF(AQ1773="7",BH1773,0)</f>
        <v>0</v>
      </c>
      <c r="AE1773" s="93">
        <f>IF(AQ1773="7",BI1773,0)</f>
        <v>0</v>
      </c>
      <c r="AF1773" s="93">
        <f>IF(AQ1773="2",BH1773,0)</f>
        <v>0</v>
      </c>
      <c r="AG1773" s="93">
        <f>IF(AQ1773="2",BI1773,0)</f>
        <v>0</v>
      </c>
      <c r="AH1773" s="93">
        <f>IF(AQ1773="0",BJ1773,0)</f>
        <v>0</v>
      </c>
      <c r="AI1773" s="88" t="s">
        <v>55</v>
      </c>
      <c r="AJ1773" s="93">
        <f>IF(AN1773=0,L1773,0)</f>
        <v>0</v>
      </c>
      <c r="AK1773" s="93">
        <f>IF(AN1773=12,L1773,0)</f>
        <v>0</v>
      </c>
      <c r="AL1773" s="93">
        <f>IF(AN1773=21,L1773,0)</f>
        <v>0</v>
      </c>
      <c r="AN1773" s="93">
        <v>21</v>
      </c>
      <c r="AO1773" s="93">
        <f>H1773*0.639624301</f>
        <v>0</v>
      </c>
      <c r="AP1773" s="93">
        <f>H1773*(1-0.639624301)</f>
        <v>0</v>
      </c>
      <c r="AQ1773" s="94" t="s">
        <v>148</v>
      </c>
      <c r="AV1773" s="93">
        <f>AW1773+AX1773</f>
        <v>0</v>
      </c>
      <c r="AW1773" s="93">
        <f>G1773*AO1773</f>
        <v>0</v>
      </c>
      <c r="AX1773" s="93">
        <f>G1773*AP1773</f>
        <v>0</v>
      </c>
      <c r="AY1773" s="94" t="s">
        <v>2246</v>
      </c>
      <c r="AZ1773" s="94" t="s">
        <v>2247</v>
      </c>
      <c r="BA1773" s="88" t="s">
        <v>67</v>
      </c>
      <c r="BC1773" s="93">
        <f>AW1773+AX1773</f>
        <v>0</v>
      </c>
      <c r="BD1773" s="93">
        <f>H1773/(100-BE1773)*100</f>
        <v>0</v>
      </c>
      <c r="BE1773" s="93">
        <v>0</v>
      </c>
      <c r="BF1773" s="93">
        <f>O1773</f>
        <v>1.97575794</v>
      </c>
      <c r="BH1773" s="93">
        <f>G1773*AO1773</f>
        <v>0</v>
      </c>
      <c r="BI1773" s="93">
        <f>G1773*AP1773</f>
        <v>0</v>
      </c>
      <c r="BJ1773" s="93">
        <f>G1773*H1773</f>
        <v>0</v>
      </c>
      <c r="BK1773" s="93"/>
      <c r="BL1773" s="93">
        <v>762</v>
      </c>
      <c r="BW1773" s="93" t="str">
        <f>I1773</f>
        <v>21</v>
      </c>
      <c r="BX1773" s="2" t="s">
        <v>2245</v>
      </c>
    </row>
    <row r="1774" spans="1:76" s="81" customFormat="1" ht="13.5" customHeight="1" x14ac:dyDescent="0.25">
      <c r="A1774" s="110"/>
      <c r="B1774" s="95"/>
      <c r="C1774" s="95"/>
      <c r="D1774" s="179" t="s">
        <v>2248</v>
      </c>
      <c r="E1774" s="179"/>
      <c r="F1774" s="179"/>
      <c r="G1774" s="179"/>
      <c r="H1774" s="179"/>
      <c r="I1774" s="179"/>
      <c r="J1774" s="179"/>
      <c r="K1774" s="179"/>
      <c r="L1774" s="179"/>
      <c r="M1774" s="179"/>
      <c r="N1774" s="179"/>
      <c r="O1774" s="179"/>
      <c r="P1774" s="179"/>
    </row>
    <row r="1775" spans="1:76" s="81" customFormat="1" x14ac:dyDescent="0.25">
      <c r="A1775" s="110"/>
      <c r="B1775" s="95"/>
      <c r="C1775" s="95"/>
      <c r="D1775" s="76" t="s">
        <v>54</v>
      </c>
      <c r="E1775" s="76" t="s">
        <v>831</v>
      </c>
      <c r="F1775" s="95"/>
      <c r="G1775" s="96">
        <v>0</v>
      </c>
      <c r="H1775" s="95"/>
      <c r="I1775" s="95"/>
      <c r="J1775" s="95"/>
      <c r="K1775" s="95"/>
      <c r="L1775" s="95"/>
      <c r="M1775" s="95"/>
      <c r="N1775" s="95"/>
      <c r="O1775" s="95"/>
      <c r="P1775" s="95"/>
    </row>
    <row r="1776" spans="1:76" s="81" customFormat="1" x14ac:dyDescent="0.25">
      <c r="A1776" s="110"/>
      <c r="B1776" s="95"/>
      <c r="C1776" s="95"/>
      <c r="D1776" s="76" t="s">
        <v>54</v>
      </c>
      <c r="E1776" s="76" t="s">
        <v>832</v>
      </c>
      <c r="F1776" s="95"/>
      <c r="G1776" s="96">
        <v>0</v>
      </c>
      <c r="H1776" s="95"/>
      <c r="I1776" s="95"/>
      <c r="J1776" s="95"/>
      <c r="K1776" s="95"/>
      <c r="L1776" s="95"/>
      <c r="M1776" s="95"/>
      <c r="N1776" s="95"/>
      <c r="O1776" s="95"/>
      <c r="P1776" s="95"/>
    </row>
    <row r="1777" spans="1:76" s="81" customFormat="1" x14ac:dyDescent="0.25">
      <c r="A1777" s="110"/>
      <c r="B1777" s="95"/>
      <c r="C1777" s="95"/>
      <c r="D1777" s="76" t="s">
        <v>1496</v>
      </c>
      <c r="E1777" s="76" t="s">
        <v>54</v>
      </c>
      <c r="F1777" s="95"/>
      <c r="G1777" s="96">
        <v>16.266749999999998</v>
      </c>
      <c r="H1777" s="95"/>
      <c r="I1777" s="95"/>
      <c r="J1777" s="95"/>
      <c r="K1777" s="95"/>
      <c r="L1777" s="95"/>
      <c r="M1777" s="95"/>
      <c r="N1777" s="95"/>
      <c r="O1777" s="95"/>
      <c r="P1777" s="95"/>
    </row>
    <row r="1778" spans="1:76" s="81" customFormat="1" x14ac:dyDescent="0.25">
      <c r="A1778" s="110"/>
      <c r="B1778" s="95"/>
      <c r="C1778" s="95"/>
      <c r="D1778" s="76" t="s">
        <v>1597</v>
      </c>
      <c r="E1778" s="76" t="s">
        <v>54</v>
      </c>
      <c r="F1778" s="95"/>
      <c r="G1778" s="96">
        <v>104.367</v>
      </c>
      <c r="H1778" s="95"/>
      <c r="I1778" s="95"/>
      <c r="J1778" s="95"/>
      <c r="K1778" s="95"/>
      <c r="L1778" s="95"/>
      <c r="M1778" s="95"/>
      <c r="N1778" s="95"/>
      <c r="O1778" s="95"/>
      <c r="P1778" s="95"/>
    </row>
    <row r="1779" spans="1:76" s="81" customFormat="1" x14ac:dyDescent="0.25">
      <c r="A1779" s="110"/>
      <c r="B1779" s="95"/>
      <c r="C1779" s="95"/>
      <c r="D1779" s="76" t="s">
        <v>54</v>
      </c>
      <c r="E1779" s="76" t="s">
        <v>837</v>
      </c>
      <c r="F1779" s="95"/>
      <c r="G1779" s="96">
        <v>0</v>
      </c>
      <c r="H1779" s="95"/>
      <c r="I1779" s="95"/>
      <c r="J1779" s="95"/>
      <c r="K1779" s="95"/>
      <c r="L1779" s="95"/>
      <c r="M1779" s="95"/>
      <c r="N1779" s="95"/>
      <c r="O1779" s="95"/>
      <c r="P1779" s="95"/>
    </row>
    <row r="1780" spans="1:76" s="81" customFormat="1" x14ac:dyDescent="0.25">
      <c r="A1780" s="110"/>
      <c r="B1780" s="95"/>
      <c r="C1780" s="95"/>
      <c r="D1780" s="76" t="s">
        <v>1598</v>
      </c>
      <c r="E1780" s="76" t="s">
        <v>54</v>
      </c>
      <c r="F1780" s="95"/>
      <c r="G1780" s="96">
        <v>20.089749999999999</v>
      </c>
      <c r="H1780" s="95"/>
      <c r="I1780" s="95"/>
      <c r="J1780" s="95"/>
      <c r="K1780" s="95"/>
      <c r="L1780" s="95"/>
      <c r="M1780" s="95"/>
      <c r="N1780" s="95"/>
      <c r="O1780" s="95"/>
      <c r="P1780" s="95"/>
    </row>
    <row r="1781" spans="1:76" s="81" customFormat="1" ht="25.5" x14ac:dyDescent="0.25">
      <c r="A1781" s="66" t="s">
        <v>2254</v>
      </c>
      <c r="B1781" s="72" t="s">
        <v>55</v>
      </c>
      <c r="C1781" s="72" t="s">
        <v>2250</v>
      </c>
      <c r="D1781" s="174" t="s">
        <v>2251</v>
      </c>
      <c r="E1781" s="174"/>
      <c r="F1781" s="72" t="s">
        <v>1447</v>
      </c>
      <c r="G1781" s="91"/>
      <c r="H1781" s="91"/>
      <c r="I1781" s="92" t="s">
        <v>63</v>
      </c>
      <c r="J1781" s="90">
        <f>G1781*AO1781</f>
        <v>0</v>
      </c>
      <c r="K1781" s="90">
        <f>G1781*AP1781</f>
        <v>0</v>
      </c>
      <c r="L1781" s="90">
        <f>G1781*H1781</f>
        <v>0</v>
      </c>
      <c r="M1781" s="90">
        <f>L1781*(1+BW1781/100)</f>
        <v>0</v>
      </c>
      <c r="N1781" s="90">
        <v>0</v>
      </c>
      <c r="O1781" s="90">
        <f>G1781*N1781</f>
        <v>0</v>
      </c>
      <c r="P1781" s="92" t="s">
        <v>64</v>
      </c>
      <c r="Z1781" s="93">
        <f>IF(AQ1781="5",BJ1781,0)</f>
        <v>0</v>
      </c>
      <c r="AB1781" s="93">
        <f>IF(AQ1781="1",BH1781,0)</f>
        <v>0</v>
      </c>
      <c r="AC1781" s="93">
        <f>IF(AQ1781="1",BI1781,0)</f>
        <v>0</v>
      </c>
      <c r="AD1781" s="93">
        <f>IF(AQ1781="7",BH1781,0)</f>
        <v>0</v>
      </c>
      <c r="AE1781" s="93">
        <f>IF(AQ1781="7",BI1781,0)</f>
        <v>0</v>
      </c>
      <c r="AF1781" s="93">
        <f>IF(AQ1781="2",BH1781,0)</f>
        <v>0</v>
      </c>
      <c r="AG1781" s="93">
        <f>IF(AQ1781="2",BI1781,0)</f>
        <v>0</v>
      </c>
      <c r="AH1781" s="93">
        <f>IF(AQ1781="0",BJ1781,0)</f>
        <v>0</v>
      </c>
      <c r="AI1781" s="88" t="s">
        <v>55</v>
      </c>
      <c r="AJ1781" s="93">
        <f>IF(AN1781=0,L1781,0)</f>
        <v>0</v>
      </c>
      <c r="AK1781" s="93">
        <f>IF(AN1781=12,L1781,0)</f>
        <v>0</v>
      </c>
      <c r="AL1781" s="93">
        <f>IF(AN1781=21,L1781,0)</f>
        <v>0</v>
      </c>
      <c r="AN1781" s="93">
        <v>21</v>
      </c>
      <c r="AO1781" s="93">
        <f>H1781*0</f>
        <v>0</v>
      </c>
      <c r="AP1781" s="93">
        <f>H1781*(1-0)</f>
        <v>0</v>
      </c>
      <c r="AQ1781" s="94" t="s">
        <v>136</v>
      </c>
      <c r="AV1781" s="93">
        <f>AW1781+AX1781</f>
        <v>0</v>
      </c>
      <c r="AW1781" s="93">
        <f>G1781*AO1781</f>
        <v>0</v>
      </c>
      <c r="AX1781" s="93">
        <f>G1781*AP1781</f>
        <v>0</v>
      </c>
      <c r="AY1781" s="94" t="s">
        <v>2246</v>
      </c>
      <c r="AZ1781" s="94" t="s">
        <v>2247</v>
      </c>
      <c r="BA1781" s="88" t="s">
        <v>67</v>
      </c>
      <c r="BC1781" s="93">
        <f>AW1781+AX1781</f>
        <v>0</v>
      </c>
      <c r="BD1781" s="93">
        <f>H1781/(100-BE1781)*100</f>
        <v>0</v>
      </c>
      <c r="BE1781" s="93">
        <v>0</v>
      </c>
      <c r="BF1781" s="93">
        <f>O1781</f>
        <v>0</v>
      </c>
      <c r="BH1781" s="93">
        <f>G1781*AO1781</f>
        <v>0</v>
      </c>
      <c r="BI1781" s="93">
        <f>G1781*AP1781</f>
        <v>0</v>
      </c>
      <c r="BJ1781" s="93">
        <f>G1781*H1781</f>
        <v>0</v>
      </c>
      <c r="BK1781" s="93"/>
      <c r="BL1781" s="93">
        <v>762</v>
      </c>
      <c r="BW1781" s="93" t="str">
        <f>I1781</f>
        <v>21</v>
      </c>
      <c r="BX1781" s="2" t="s">
        <v>2251</v>
      </c>
    </row>
    <row r="1782" spans="1:76" s="81" customFormat="1" x14ac:dyDescent="0.25">
      <c r="A1782" s="109" t="s">
        <v>54</v>
      </c>
      <c r="B1782" s="74" t="s">
        <v>55</v>
      </c>
      <c r="C1782" s="74" t="s">
        <v>2252</v>
      </c>
      <c r="D1782" s="180" t="s">
        <v>2253</v>
      </c>
      <c r="E1782" s="180"/>
      <c r="F1782" s="85" t="s">
        <v>4</v>
      </c>
      <c r="G1782" s="85" t="s">
        <v>4</v>
      </c>
      <c r="H1782" s="85" t="s">
        <v>4</v>
      </c>
      <c r="I1782" s="85" t="s">
        <v>4</v>
      </c>
      <c r="J1782" s="86">
        <f>SUM(J1783:J1817)</f>
        <v>0</v>
      </c>
      <c r="K1782" s="86">
        <f>SUM(K1783:K1817)</f>
        <v>0</v>
      </c>
      <c r="L1782" s="86">
        <f>SUM(L1783:L1817)</f>
        <v>0</v>
      </c>
      <c r="M1782" s="86">
        <f>SUM(M1783:M1817)</f>
        <v>0</v>
      </c>
      <c r="N1782" s="87" t="s">
        <v>54</v>
      </c>
      <c r="O1782" s="86">
        <f>SUM(O1783:O1817)</f>
        <v>1.8279856000000001</v>
      </c>
      <c r="P1782" s="87" t="s">
        <v>54</v>
      </c>
      <c r="AI1782" s="88" t="s">
        <v>55</v>
      </c>
      <c r="AS1782" s="89">
        <f>SUM(AJ1783:AJ1817)</f>
        <v>0</v>
      </c>
      <c r="AT1782" s="89">
        <f>SUM(AK1783:AK1817)</f>
        <v>0</v>
      </c>
      <c r="AU1782" s="89">
        <f>SUM(AL1783:AL1817)</f>
        <v>0</v>
      </c>
    </row>
    <row r="1783" spans="1:76" s="81" customFormat="1" ht="25.5" x14ac:dyDescent="0.25">
      <c r="A1783" s="66" t="s">
        <v>2287</v>
      </c>
      <c r="B1783" s="72" t="s">
        <v>55</v>
      </c>
      <c r="C1783" s="72" t="s">
        <v>2255</v>
      </c>
      <c r="D1783" s="174" t="s">
        <v>2256</v>
      </c>
      <c r="E1783" s="174"/>
      <c r="F1783" s="72" t="s">
        <v>213</v>
      </c>
      <c r="G1783" s="90">
        <v>71.790000000000006</v>
      </c>
      <c r="H1783" s="91"/>
      <c r="I1783" s="92" t="s">
        <v>63</v>
      </c>
      <c r="J1783" s="90">
        <f>G1783*AO1783</f>
        <v>0</v>
      </c>
      <c r="K1783" s="90">
        <f>G1783*AP1783</f>
        <v>0</v>
      </c>
      <c r="L1783" s="90">
        <f>G1783*H1783</f>
        <v>0</v>
      </c>
      <c r="M1783" s="90">
        <f>L1783*(1+BW1783/100)</f>
        <v>0</v>
      </c>
      <c r="N1783" s="90">
        <v>2.4399999999999999E-3</v>
      </c>
      <c r="O1783" s="90">
        <f>G1783*N1783</f>
        <v>0.17516760000000001</v>
      </c>
      <c r="P1783" s="92" t="s">
        <v>64</v>
      </c>
      <c r="Z1783" s="93">
        <f>IF(AQ1783="5",BJ1783,0)</f>
        <v>0</v>
      </c>
      <c r="AB1783" s="93">
        <f>IF(AQ1783="1",BH1783,0)</f>
        <v>0</v>
      </c>
      <c r="AC1783" s="93">
        <f>IF(AQ1783="1",BI1783,0)</f>
        <v>0</v>
      </c>
      <c r="AD1783" s="93">
        <f>IF(AQ1783="7",BH1783,0)</f>
        <v>0</v>
      </c>
      <c r="AE1783" s="93">
        <f>IF(AQ1783="7",BI1783,0)</f>
        <v>0</v>
      </c>
      <c r="AF1783" s="93">
        <f>IF(AQ1783="2",BH1783,0)</f>
        <v>0</v>
      </c>
      <c r="AG1783" s="93">
        <f>IF(AQ1783="2",BI1783,0)</f>
        <v>0</v>
      </c>
      <c r="AH1783" s="93">
        <f>IF(AQ1783="0",BJ1783,0)</f>
        <v>0</v>
      </c>
      <c r="AI1783" s="88" t="s">
        <v>55</v>
      </c>
      <c r="AJ1783" s="93">
        <f>IF(AN1783=0,L1783,0)</f>
        <v>0</v>
      </c>
      <c r="AK1783" s="93">
        <f>IF(AN1783=12,L1783,0)</f>
        <v>0</v>
      </c>
      <c r="AL1783" s="93">
        <f>IF(AN1783=21,L1783,0)</f>
        <v>0</v>
      </c>
      <c r="AN1783" s="93">
        <v>21</v>
      </c>
      <c r="AO1783" s="93">
        <f>H1783*0.372093023</f>
        <v>0</v>
      </c>
      <c r="AP1783" s="93">
        <f>H1783*(1-0.372093023)</f>
        <v>0</v>
      </c>
      <c r="AQ1783" s="94" t="s">
        <v>148</v>
      </c>
      <c r="AV1783" s="93">
        <f>AW1783+AX1783</f>
        <v>0</v>
      </c>
      <c r="AW1783" s="93">
        <f>G1783*AO1783</f>
        <v>0</v>
      </c>
      <c r="AX1783" s="93">
        <f>G1783*AP1783</f>
        <v>0</v>
      </c>
      <c r="AY1783" s="94" t="s">
        <v>2257</v>
      </c>
      <c r="AZ1783" s="94" t="s">
        <v>2247</v>
      </c>
      <c r="BA1783" s="88" t="s">
        <v>67</v>
      </c>
      <c r="BC1783" s="93">
        <f>AW1783+AX1783</f>
        <v>0</v>
      </c>
      <c r="BD1783" s="93">
        <f>H1783/(100-BE1783)*100</f>
        <v>0</v>
      </c>
      <c r="BE1783" s="93">
        <v>0</v>
      </c>
      <c r="BF1783" s="93">
        <f>O1783</f>
        <v>0.17516760000000001</v>
      </c>
      <c r="BH1783" s="93">
        <f>G1783*AO1783</f>
        <v>0</v>
      </c>
      <c r="BI1783" s="93">
        <f>G1783*AP1783</f>
        <v>0</v>
      </c>
      <c r="BJ1783" s="93">
        <f>G1783*H1783</f>
        <v>0</v>
      </c>
      <c r="BK1783" s="93"/>
      <c r="BL1783" s="93">
        <v>764</v>
      </c>
      <c r="BW1783" s="93" t="str">
        <f>I1783</f>
        <v>21</v>
      </c>
      <c r="BX1783" s="2" t="s">
        <v>2256</v>
      </c>
    </row>
    <row r="1784" spans="1:76" s="81" customFormat="1" x14ac:dyDescent="0.25">
      <c r="A1784" s="110"/>
      <c r="B1784" s="95"/>
      <c r="C1784" s="95"/>
      <c r="D1784" s="76" t="s">
        <v>54</v>
      </c>
      <c r="E1784" s="76" t="s">
        <v>2258</v>
      </c>
      <c r="F1784" s="95"/>
      <c r="G1784" s="96">
        <v>0</v>
      </c>
      <c r="H1784" s="97"/>
      <c r="I1784" s="95"/>
      <c r="J1784" s="95"/>
      <c r="K1784" s="95"/>
      <c r="L1784" s="95"/>
      <c r="M1784" s="95"/>
      <c r="N1784" s="95"/>
      <c r="O1784" s="95"/>
      <c r="P1784" s="95"/>
    </row>
    <row r="1785" spans="1:76" s="81" customFormat="1" x14ac:dyDescent="0.25">
      <c r="A1785" s="110"/>
      <c r="B1785" s="95"/>
      <c r="C1785" s="95"/>
      <c r="D1785" s="76" t="s">
        <v>2259</v>
      </c>
      <c r="E1785" s="76" t="s">
        <v>2260</v>
      </c>
      <c r="F1785" s="95"/>
      <c r="G1785" s="96">
        <v>12.3</v>
      </c>
      <c r="H1785" s="97"/>
      <c r="I1785" s="95"/>
      <c r="J1785" s="95"/>
      <c r="K1785" s="95"/>
      <c r="L1785" s="95"/>
      <c r="M1785" s="95"/>
      <c r="N1785" s="95"/>
      <c r="O1785" s="95"/>
      <c r="P1785" s="95"/>
    </row>
    <row r="1786" spans="1:76" s="81" customFormat="1" x14ac:dyDescent="0.25">
      <c r="A1786" s="110"/>
      <c r="B1786" s="95"/>
      <c r="C1786" s="95"/>
      <c r="D1786" s="76" t="s">
        <v>2261</v>
      </c>
      <c r="E1786" s="76" t="s">
        <v>2262</v>
      </c>
      <c r="F1786" s="95"/>
      <c r="G1786" s="96">
        <v>4.9000000000000004</v>
      </c>
      <c r="H1786" s="97"/>
      <c r="I1786" s="95"/>
      <c r="J1786" s="95"/>
      <c r="K1786" s="95"/>
      <c r="L1786" s="95"/>
      <c r="M1786" s="95"/>
      <c r="N1786" s="95"/>
      <c r="O1786" s="95"/>
      <c r="P1786" s="95"/>
    </row>
    <row r="1787" spans="1:76" s="81" customFormat="1" x14ac:dyDescent="0.25">
      <c r="A1787" s="110"/>
      <c r="B1787" s="95"/>
      <c r="C1787" s="95"/>
      <c r="D1787" s="76" t="s">
        <v>2263</v>
      </c>
      <c r="E1787" s="76" t="s">
        <v>2264</v>
      </c>
      <c r="F1787" s="95"/>
      <c r="G1787" s="96">
        <v>1.5</v>
      </c>
      <c r="H1787" s="97"/>
      <c r="I1787" s="95"/>
      <c r="J1787" s="95"/>
      <c r="K1787" s="95"/>
      <c r="L1787" s="95"/>
      <c r="M1787" s="95"/>
      <c r="N1787" s="95"/>
      <c r="O1787" s="95"/>
      <c r="P1787" s="95"/>
    </row>
    <row r="1788" spans="1:76" s="81" customFormat="1" x14ac:dyDescent="0.25">
      <c r="A1788" s="110"/>
      <c r="B1788" s="95"/>
      <c r="C1788" s="95"/>
      <c r="D1788" s="76" t="s">
        <v>2265</v>
      </c>
      <c r="E1788" s="76" t="s">
        <v>2266</v>
      </c>
      <c r="F1788" s="95"/>
      <c r="G1788" s="96">
        <v>7.92</v>
      </c>
      <c r="H1788" s="97"/>
      <c r="I1788" s="95"/>
      <c r="J1788" s="95"/>
      <c r="K1788" s="95"/>
      <c r="L1788" s="95"/>
      <c r="M1788" s="95"/>
      <c r="N1788" s="95"/>
      <c r="O1788" s="95"/>
      <c r="P1788" s="95"/>
    </row>
    <row r="1789" spans="1:76" s="81" customFormat="1" x14ac:dyDescent="0.25">
      <c r="A1789" s="110"/>
      <c r="B1789" s="95"/>
      <c r="C1789" s="95"/>
      <c r="D1789" s="76" t="s">
        <v>2267</v>
      </c>
      <c r="E1789" s="76" t="s">
        <v>2268</v>
      </c>
      <c r="F1789" s="95"/>
      <c r="G1789" s="96">
        <v>1.9</v>
      </c>
      <c r="H1789" s="97"/>
      <c r="I1789" s="95"/>
      <c r="J1789" s="95"/>
      <c r="K1789" s="95"/>
      <c r="L1789" s="95"/>
      <c r="M1789" s="95"/>
      <c r="N1789" s="95"/>
      <c r="O1789" s="95"/>
      <c r="P1789" s="95"/>
    </row>
    <row r="1790" spans="1:76" s="81" customFormat="1" x14ac:dyDescent="0.25">
      <c r="A1790" s="110"/>
      <c r="B1790" s="95"/>
      <c r="C1790" s="95"/>
      <c r="D1790" s="76" t="s">
        <v>2269</v>
      </c>
      <c r="E1790" s="76" t="s">
        <v>2270</v>
      </c>
      <c r="F1790" s="95"/>
      <c r="G1790" s="96">
        <v>3.68</v>
      </c>
      <c r="H1790" s="97"/>
      <c r="I1790" s="95"/>
      <c r="J1790" s="95"/>
      <c r="K1790" s="95"/>
      <c r="L1790" s="95"/>
      <c r="M1790" s="95"/>
      <c r="N1790" s="95"/>
      <c r="O1790" s="95"/>
      <c r="P1790" s="95"/>
    </row>
    <row r="1791" spans="1:76" s="81" customFormat="1" x14ac:dyDescent="0.25">
      <c r="A1791" s="110"/>
      <c r="B1791" s="95"/>
      <c r="C1791" s="95"/>
      <c r="D1791" s="76" t="s">
        <v>2271</v>
      </c>
      <c r="E1791" s="76" t="s">
        <v>2272</v>
      </c>
      <c r="F1791" s="95"/>
      <c r="G1791" s="96">
        <v>7.2</v>
      </c>
      <c r="H1791" s="97"/>
      <c r="I1791" s="95"/>
      <c r="J1791" s="95"/>
      <c r="K1791" s="95"/>
      <c r="L1791" s="95"/>
      <c r="M1791" s="95"/>
      <c r="N1791" s="95"/>
      <c r="O1791" s="95"/>
      <c r="P1791" s="95"/>
    </row>
    <row r="1792" spans="1:76" s="81" customFormat="1" x14ac:dyDescent="0.25">
      <c r="A1792" s="110"/>
      <c r="B1792" s="95"/>
      <c r="C1792" s="95"/>
      <c r="D1792" s="76" t="s">
        <v>2273</v>
      </c>
      <c r="E1792" s="76" t="s">
        <v>2274</v>
      </c>
      <c r="F1792" s="95"/>
      <c r="G1792" s="96">
        <v>4.7249999999999996</v>
      </c>
      <c r="H1792" s="97"/>
      <c r="I1792" s="95"/>
      <c r="J1792" s="95"/>
      <c r="K1792" s="95"/>
      <c r="L1792" s="95"/>
      <c r="M1792" s="95"/>
      <c r="N1792" s="95"/>
      <c r="O1792" s="95"/>
      <c r="P1792" s="95"/>
    </row>
    <row r="1793" spans="1:76" s="81" customFormat="1" x14ac:dyDescent="0.25">
      <c r="A1793" s="110"/>
      <c r="B1793" s="95"/>
      <c r="C1793" s="95"/>
      <c r="D1793" s="76" t="s">
        <v>2275</v>
      </c>
      <c r="E1793" s="76" t="s">
        <v>2276</v>
      </c>
      <c r="F1793" s="95"/>
      <c r="G1793" s="96">
        <v>2.3199999999999998</v>
      </c>
      <c r="H1793" s="97"/>
      <c r="I1793" s="95"/>
      <c r="J1793" s="95"/>
      <c r="K1793" s="95"/>
      <c r="L1793" s="95"/>
      <c r="M1793" s="95"/>
      <c r="N1793" s="95"/>
      <c r="O1793" s="95"/>
      <c r="P1793" s="95"/>
    </row>
    <row r="1794" spans="1:76" s="81" customFormat="1" x14ac:dyDescent="0.25">
      <c r="A1794" s="110"/>
      <c r="B1794" s="95"/>
      <c r="C1794" s="95"/>
      <c r="D1794" s="76" t="s">
        <v>2277</v>
      </c>
      <c r="E1794" s="76" t="s">
        <v>2278</v>
      </c>
      <c r="F1794" s="95"/>
      <c r="G1794" s="96">
        <v>2.04</v>
      </c>
      <c r="H1794" s="97"/>
      <c r="I1794" s="95"/>
      <c r="J1794" s="95"/>
      <c r="K1794" s="95"/>
      <c r="L1794" s="95"/>
      <c r="M1794" s="95"/>
      <c r="N1794" s="95"/>
      <c r="O1794" s="95"/>
      <c r="P1794" s="95"/>
    </row>
    <row r="1795" spans="1:76" s="81" customFormat="1" x14ac:dyDescent="0.25">
      <c r="A1795" s="110"/>
      <c r="B1795" s="95"/>
      <c r="C1795" s="95"/>
      <c r="D1795" s="76" t="s">
        <v>2279</v>
      </c>
      <c r="E1795" s="76" t="s">
        <v>2280</v>
      </c>
      <c r="F1795" s="95"/>
      <c r="G1795" s="96">
        <v>13.425000000000001</v>
      </c>
      <c r="H1795" s="97"/>
      <c r="I1795" s="95"/>
      <c r="J1795" s="95"/>
      <c r="K1795" s="95"/>
      <c r="L1795" s="95"/>
      <c r="M1795" s="95"/>
      <c r="N1795" s="95"/>
      <c r="O1795" s="95"/>
      <c r="P1795" s="95"/>
    </row>
    <row r="1796" spans="1:76" s="81" customFormat="1" x14ac:dyDescent="0.25">
      <c r="A1796" s="110"/>
      <c r="B1796" s="95"/>
      <c r="C1796" s="95"/>
      <c r="D1796" s="76" t="s">
        <v>2281</v>
      </c>
      <c r="E1796" s="76" t="s">
        <v>2282</v>
      </c>
      <c r="F1796" s="95"/>
      <c r="G1796" s="96">
        <v>5.28</v>
      </c>
      <c r="H1796" s="97"/>
      <c r="I1796" s="95"/>
      <c r="J1796" s="95"/>
      <c r="K1796" s="95"/>
      <c r="L1796" s="95"/>
      <c r="M1796" s="95"/>
      <c r="N1796" s="95"/>
      <c r="O1796" s="95"/>
      <c r="P1796" s="95"/>
    </row>
    <row r="1797" spans="1:76" s="81" customFormat="1" x14ac:dyDescent="0.25">
      <c r="A1797" s="110"/>
      <c r="B1797" s="95"/>
      <c r="C1797" s="95"/>
      <c r="D1797" s="76" t="s">
        <v>2283</v>
      </c>
      <c r="E1797" s="76" t="s">
        <v>2284</v>
      </c>
      <c r="F1797" s="95"/>
      <c r="G1797" s="96">
        <v>2.36</v>
      </c>
      <c r="H1797" s="97"/>
      <c r="I1797" s="95"/>
      <c r="J1797" s="95"/>
      <c r="K1797" s="95"/>
      <c r="L1797" s="95"/>
      <c r="M1797" s="95"/>
      <c r="N1797" s="95"/>
      <c r="O1797" s="95"/>
      <c r="P1797" s="95"/>
    </row>
    <row r="1798" spans="1:76" s="81" customFormat="1" x14ac:dyDescent="0.25">
      <c r="A1798" s="110"/>
      <c r="B1798" s="95"/>
      <c r="C1798" s="95"/>
      <c r="D1798" s="76" t="s">
        <v>2285</v>
      </c>
      <c r="E1798" s="76" t="s">
        <v>2286</v>
      </c>
      <c r="F1798" s="95"/>
      <c r="G1798" s="96">
        <v>2.2400000000000002</v>
      </c>
      <c r="H1798" s="97"/>
      <c r="I1798" s="95"/>
      <c r="J1798" s="95"/>
      <c r="K1798" s="95"/>
      <c r="L1798" s="95"/>
      <c r="M1798" s="95"/>
      <c r="N1798" s="95"/>
      <c r="O1798" s="95"/>
      <c r="P1798" s="95"/>
    </row>
    <row r="1799" spans="1:76" s="81" customFormat="1" ht="25.5" x14ac:dyDescent="0.25">
      <c r="A1799" s="66" t="s">
        <v>2292</v>
      </c>
      <c r="B1799" s="72" t="s">
        <v>55</v>
      </c>
      <c r="C1799" s="72" t="s">
        <v>2288</v>
      </c>
      <c r="D1799" s="174" t="s">
        <v>2289</v>
      </c>
      <c r="E1799" s="174"/>
      <c r="F1799" s="72" t="s">
        <v>213</v>
      </c>
      <c r="G1799" s="90">
        <v>9.1999999999999993</v>
      </c>
      <c r="H1799" s="91"/>
      <c r="I1799" s="92" t="s">
        <v>63</v>
      </c>
      <c r="J1799" s="90">
        <f>G1799*AO1799</f>
        <v>0</v>
      </c>
      <c r="K1799" s="90">
        <f>G1799*AP1799</f>
        <v>0</v>
      </c>
      <c r="L1799" s="90">
        <f>G1799*H1799</f>
        <v>0</v>
      </c>
      <c r="M1799" s="90">
        <f>L1799*(1+BW1799/100)</f>
        <v>0</v>
      </c>
      <c r="N1799" s="90">
        <v>3.6700000000000001E-3</v>
      </c>
      <c r="O1799" s="90">
        <f>G1799*N1799</f>
        <v>3.3763999999999995E-2</v>
      </c>
      <c r="P1799" s="92" t="s">
        <v>64</v>
      </c>
      <c r="Z1799" s="93">
        <f>IF(AQ1799="5",BJ1799,0)</f>
        <v>0</v>
      </c>
      <c r="AB1799" s="93">
        <f>IF(AQ1799="1",BH1799,0)</f>
        <v>0</v>
      </c>
      <c r="AC1799" s="93">
        <f>IF(AQ1799="1",BI1799,0)</f>
        <v>0</v>
      </c>
      <c r="AD1799" s="93">
        <f>IF(AQ1799="7",BH1799,0)</f>
        <v>0</v>
      </c>
      <c r="AE1799" s="93">
        <f>IF(AQ1799="7",BI1799,0)</f>
        <v>0</v>
      </c>
      <c r="AF1799" s="93">
        <f>IF(AQ1799="2",BH1799,0)</f>
        <v>0</v>
      </c>
      <c r="AG1799" s="93">
        <f>IF(AQ1799="2",BI1799,0)</f>
        <v>0</v>
      </c>
      <c r="AH1799" s="93">
        <f>IF(AQ1799="0",BJ1799,0)</f>
        <v>0</v>
      </c>
      <c r="AI1799" s="88" t="s">
        <v>55</v>
      </c>
      <c r="AJ1799" s="93">
        <f>IF(AN1799=0,L1799,0)</f>
        <v>0</v>
      </c>
      <c r="AK1799" s="93">
        <f>IF(AN1799=12,L1799,0)</f>
        <v>0</v>
      </c>
      <c r="AL1799" s="93">
        <f>IF(AN1799=21,L1799,0)</f>
        <v>0</v>
      </c>
      <c r="AN1799" s="93">
        <v>21</v>
      </c>
      <c r="AO1799" s="93">
        <f>H1799*0.426362438</f>
        <v>0</v>
      </c>
      <c r="AP1799" s="93">
        <f>H1799*(1-0.426362438)</f>
        <v>0</v>
      </c>
      <c r="AQ1799" s="94" t="s">
        <v>148</v>
      </c>
      <c r="AV1799" s="93">
        <f>AW1799+AX1799</f>
        <v>0</v>
      </c>
      <c r="AW1799" s="93">
        <f>G1799*AO1799</f>
        <v>0</v>
      </c>
      <c r="AX1799" s="93">
        <f>G1799*AP1799</f>
        <v>0</v>
      </c>
      <c r="AY1799" s="94" t="s">
        <v>2257</v>
      </c>
      <c r="AZ1799" s="94" t="s">
        <v>2247</v>
      </c>
      <c r="BA1799" s="88" t="s">
        <v>67</v>
      </c>
      <c r="BC1799" s="93">
        <f>AW1799+AX1799</f>
        <v>0</v>
      </c>
      <c r="BD1799" s="93">
        <f>H1799/(100-BE1799)*100</f>
        <v>0</v>
      </c>
      <c r="BE1799" s="93">
        <v>0</v>
      </c>
      <c r="BF1799" s="93">
        <f>O1799</f>
        <v>3.3763999999999995E-2</v>
      </c>
      <c r="BH1799" s="93">
        <f>G1799*AO1799</f>
        <v>0</v>
      </c>
      <c r="BI1799" s="93">
        <f>G1799*AP1799</f>
        <v>0</v>
      </c>
      <c r="BJ1799" s="93">
        <f>G1799*H1799</f>
        <v>0</v>
      </c>
      <c r="BK1799" s="93"/>
      <c r="BL1799" s="93">
        <v>764</v>
      </c>
      <c r="BW1799" s="93" t="str">
        <f>I1799</f>
        <v>21</v>
      </c>
      <c r="BX1799" s="2" t="s">
        <v>2289</v>
      </c>
    </row>
    <row r="1800" spans="1:76" s="81" customFormat="1" x14ac:dyDescent="0.25">
      <c r="A1800" s="110"/>
      <c r="B1800" s="95"/>
      <c r="C1800" s="95"/>
      <c r="D1800" s="76" t="s">
        <v>54</v>
      </c>
      <c r="E1800" s="76" t="s">
        <v>2258</v>
      </c>
      <c r="F1800" s="95"/>
      <c r="G1800" s="96">
        <v>0</v>
      </c>
      <c r="H1800" s="97"/>
      <c r="I1800" s="95"/>
      <c r="J1800" s="95"/>
      <c r="K1800" s="95"/>
      <c r="L1800" s="95"/>
      <c r="M1800" s="95"/>
      <c r="N1800" s="95"/>
      <c r="O1800" s="95"/>
      <c r="P1800" s="95"/>
    </row>
    <row r="1801" spans="1:76" s="81" customFormat="1" x14ac:dyDescent="0.25">
      <c r="A1801" s="110"/>
      <c r="B1801" s="95"/>
      <c r="C1801" s="95"/>
      <c r="D1801" s="76" t="s">
        <v>2290</v>
      </c>
      <c r="E1801" s="76" t="s">
        <v>2291</v>
      </c>
      <c r="F1801" s="95"/>
      <c r="G1801" s="96">
        <v>9.1999999999999993</v>
      </c>
      <c r="H1801" s="97"/>
      <c r="I1801" s="95"/>
      <c r="J1801" s="95"/>
      <c r="K1801" s="95"/>
      <c r="L1801" s="95"/>
      <c r="M1801" s="95"/>
      <c r="N1801" s="95"/>
      <c r="O1801" s="95"/>
      <c r="P1801" s="95"/>
    </row>
    <row r="1802" spans="1:76" s="81" customFormat="1" ht="25.5" x14ac:dyDescent="0.25">
      <c r="A1802" s="66" t="s">
        <v>2296</v>
      </c>
      <c r="B1802" s="72" t="s">
        <v>55</v>
      </c>
      <c r="C1802" s="72" t="s">
        <v>2293</v>
      </c>
      <c r="D1802" s="174" t="s">
        <v>2294</v>
      </c>
      <c r="E1802" s="174"/>
      <c r="F1802" s="72" t="s">
        <v>213</v>
      </c>
      <c r="G1802" s="90">
        <v>14</v>
      </c>
      <c r="H1802" s="91"/>
      <c r="I1802" s="92" t="s">
        <v>63</v>
      </c>
      <c r="J1802" s="90">
        <f>G1802*AO1802</f>
        <v>0</v>
      </c>
      <c r="K1802" s="90">
        <f>G1802*AP1802</f>
        <v>0</v>
      </c>
      <c r="L1802" s="90">
        <f>G1802*H1802</f>
        <v>0</v>
      </c>
      <c r="M1802" s="90">
        <f>L1802*(1+BW1802/100)</f>
        <v>0</v>
      </c>
      <c r="N1802" s="90">
        <v>3.7499999999999999E-3</v>
      </c>
      <c r="O1802" s="90">
        <f>G1802*N1802</f>
        <v>5.2499999999999998E-2</v>
      </c>
      <c r="P1802" s="92" t="s">
        <v>371</v>
      </c>
      <c r="Z1802" s="93">
        <f>IF(AQ1802="5",BJ1802,0)</f>
        <v>0</v>
      </c>
      <c r="AB1802" s="93">
        <f>IF(AQ1802="1",BH1802,0)</f>
        <v>0</v>
      </c>
      <c r="AC1802" s="93">
        <f>IF(AQ1802="1",BI1802,0)</f>
        <v>0</v>
      </c>
      <c r="AD1802" s="93">
        <f>IF(AQ1802="7",BH1802,0)</f>
        <v>0</v>
      </c>
      <c r="AE1802" s="93">
        <f>IF(AQ1802="7",BI1802,0)</f>
        <v>0</v>
      </c>
      <c r="AF1802" s="93">
        <f>IF(AQ1802="2",BH1802,0)</f>
        <v>0</v>
      </c>
      <c r="AG1802" s="93">
        <f>IF(AQ1802="2",BI1802,0)</f>
        <v>0</v>
      </c>
      <c r="AH1802" s="93">
        <f>IF(AQ1802="0",BJ1802,0)</f>
        <v>0</v>
      </c>
      <c r="AI1802" s="88" t="s">
        <v>55</v>
      </c>
      <c r="AJ1802" s="93">
        <f>IF(AN1802=0,L1802,0)</f>
        <v>0</v>
      </c>
      <c r="AK1802" s="93">
        <f>IF(AN1802=12,L1802,0)</f>
        <v>0</v>
      </c>
      <c r="AL1802" s="93">
        <f>IF(AN1802=21,L1802,0)</f>
        <v>0</v>
      </c>
      <c r="AN1802" s="93">
        <v>21</v>
      </c>
      <c r="AO1802" s="93">
        <f>H1802*0.459615844</f>
        <v>0</v>
      </c>
      <c r="AP1802" s="93">
        <f>H1802*(1-0.459615844)</f>
        <v>0</v>
      </c>
      <c r="AQ1802" s="94" t="s">
        <v>148</v>
      </c>
      <c r="AV1802" s="93">
        <f>AW1802+AX1802</f>
        <v>0</v>
      </c>
      <c r="AW1802" s="93">
        <f>G1802*AO1802</f>
        <v>0</v>
      </c>
      <c r="AX1802" s="93">
        <f>G1802*AP1802</f>
        <v>0</v>
      </c>
      <c r="AY1802" s="94" t="s">
        <v>2257</v>
      </c>
      <c r="AZ1802" s="94" t="s">
        <v>2247</v>
      </c>
      <c r="BA1802" s="88" t="s">
        <v>67</v>
      </c>
      <c r="BC1802" s="93">
        <f>AW1802+AX1802</f>
        <v>0</v>
      </c>
      <c r="BD1802" s="93">
        <f>H1802/(100-BE1802)*100</f>
        <v>0</v>
      </c>
      <c r="BE1802" s="93">
        <v>0</v>
      </c>
      <c r="BF1802" s="93">
        <f>O1802</f>
        <v>5.2499999999999998E-2</v>
      </c>
      <c r="BH1802" s="93">
        <f>G1802*AO1802</f>
        <v>0</v>
      </c>
      <c r="BI1802" s="93">
        <f>G1802*AP1802</f>
        <v>0</v>
      </c>
      <c r="BJ1802" s="93">
        <f>G1802*H1802</f>
        <v>0</v>
      </c>
      <c r="BK1802" s="93"/>
      <c r="BL1802" s="93">
        <v>764</v>
      </c>
      <c r="BW1802" s="93" t="str">
        <f>I1802</f>
        <v>21</v>
      </c>
      <c r="BX1802" s="2" t="s">
        <v>2294</v>
      </c>
    </row>
    <row r="1803" spans="1:76" s="81" customFormat="1" x14ac:dyDescent="0.25">
      <c r="A1803" s="110"/>
      <c r="B1803" s="95"/>
      <c r="C1803" s="95"/>
      <c r="D1803" s="76" t="s">
        <v>54</v>
      </c>
      <c r="E1803" s="76" t="s">
        <v>2258</v>
      </c>
      <c r="F1803" s="95"/>
      <c r="G1803" s="96">
        <v>0</v>
      </c>
      <c r="H1803" s="97"/>
      <c r="I1803" s="95"/>
      <c r="J1803" s="95"/>
      <c r="K1803" s="95"/>
      <c r="L1803" s="95"/>
      <c r="M1803" s="95"/>
      <c r="N1803" s="95"/>
      <c r="O1803" s="95"/>
      <c r="P1803" s="95"/>
    </row>
    <row r="1804" spans="1:76" s="81" customFormat="1" x14ac:dyDescent="0.25">
      <c r="A1804" s="110"/>
      <c r="B1804" s="95"/>
      <c r="C1804" s="95"/>
      <c r="D1804" s="76" t="s">
        <v>210</v>
      </c>
      <c r="E1804" s="76" t="s">
        <v>2295</v>
      </c>
      <c r="F1804" s="95"/>
      <c r="G1804" s="96">
        <v>14</v>
      </c>
      <c r="H1804" s="97"/>
      <c r="I1804" s="95"/>
      <c r="J1804" s="95"/>
      <c r="K1804" s="95"/>
      <c r="L1804" s="95"/>
      <c r="M1804" s="95"/>
      <c r="N1804" s="95"/>
      <c r="O1804" s="95"/>
      <c r="P1804" s="95"/>
    </row>
    <row r="1805" spans="1:76" s="81" customFormat="1" ht="25.5" x14ac:dyDescent="0.25">
      <c r="A1805" s="66" t="s">
        <v>2301</v>
      </c>
      <c r="B1805" s="72" t="s">
        <v>55</v>
      </c>
      <c r="C1805" s="72" t="s">
        <v>2297</v>
      </c>
      <c r="D1805" s="174" t="s">
        <v>2298</v>
      </c>
      <c r="E1805" s="174"/>
      <c r="F1805" s="72" t="s">
        <v>213</v>
      </c>
      <c r="G1805" s="90">
        <v>3.4</v>
      </c>
      <c r="H1805" s="91"/>
      <c r="I1805" s="92" t="s">
        <v>63</v>
      </c>
      <c r="J1805" s="90">
        <f>G1805*AO1805</f>
        <v>0</v>
      </c>
      <c r="K1805" s="90">
        <f>G1805*AP1805</f>
        <v>0</v>
      </c>
      <c r="L1805" s="90">
        <f>G1805*H1805</f>
        <v>0</v>
      </c>
      <c r="M1805" s="90">
        <f>L1805*(1+BW1805/100)</f>
        <v>0</v>
      </c>
      <c r="N1805" s="90">
        <v>3.1199999999999999E-3</v>
      </c>
      <c r="O1805" s="90">
        <f>G1805*N1805</f>
        <v>1.0607999999999999E-2</v>
      </c>
      <c r="P1805" s="92" t="s">
        <v>64</v>
      </c>
      <c r="Z1805" s="93">
        <f>IF(AQ1805="5",BJ1805,0)</f>
        <v>0</v>
      </c>
      <c r="AB1805" s="93">
        <f>IF(AQ1805="1",BH1805,0)</f>
        <v>0</v>
      </c>
      <c r="AC1805" s="93">
        <f>IF(AQ1805="1",BI1805,0)</f>
        <v>0</v>
      </c>
      <c r="AD1805" s="93">
        <f>IF(AQ1805="7",BH1805,0)</f>
        <v>0</v>
      </c>
      <c r="AE1805" s="93">
        <f>IF(AQ1805="7",BI1805,0)</f>
        <v>0</v>
      </c>
      <c r="AF1805" s="93">
        <f>IF(AQ1805="2",BH1805,0)</f>
        <v>0</v>
      </c>
      <c r="AG1805" s="93">
        <f>IF(AQ1805="2",BI1805,0)</f>
        <v>0</v>
      </c>
      <c r="AH1805" s="93">
        <f>IF(AQ1805="0",BJ1805,0)</f>
        <v>0</v>
      </c>
      <c r="AI1805" s="88" t="s">
        <v>55</v>
      </c>
      <c r="AJ1805" s="93">
        <f>IF(AN1805=0,L1805,0)</f>
        <v>0</v>
      </c>
      <c r="AK1805" s="93">
        <f>IF(AN1805=12,L1805,0)</f>
        <v>0</v>
      </c>
      <c r="AL1805" s="93">
        <f>IF(AN1805=21,L1805,0)</f>
        <v>0</v>
      </c>
      <c r="AN1805" s="93">
        <v>21</v>
      </c>
      <c r="AO1805" s="93">
        <f>H1805*0.827378128</f>
        <v>0</v>
      </c>
      <c r="AP1805" s="93">
        <f>H1805*(1-0.827378128)</f>
        <v>0</v>
      </c>
      <c r="AQ1805" s="94" t="s">
        <v>148</v>
      </c>
      <c r="AV1805" s="93">
        <f>AW1805+AX1805</f>
        <v>0</v>
      </c>
      <c r="AW1805" s="93">
        <f>G1805*AO1805</f>
        <v>0</v>
      </c>
      <c r="AX1805" s="93">
        <f>G1805*AP1805</f>
        <v>0</v>
      </c>
      <c r="AY1805" s="94" t="s">
        <v>2257</v>
      </c>
      <c r="AZ1805" s="94" t="s">
        <v>2247</v>
      </c>
      <c r="BA1805" s="88" t="s">
        <v>67</v>
      </c>
      <c r="BC1805" s="93">
        <f>AW1805+AX1805</f>
        <v>0</v>
      </c>
      <c r="BD1805" s="93">
        <f>H1805/(100-BE1805)*100</f>
        <v>0</v>
      </c>
      <c r="BE1805" s="93">
        <v>0</v>
      </c>
      <c r="BF1805" s="93">
        <f>O1805</f>
        <v>1.0607999999999999E-2</v>
      </c>
      <c r="BH1805" s="93">
        <f>G1805*AO1805</f>
        <v>0</v>
      </c>
      <c r="BI1805" s="93">
        <f>G1805*AP1805</f>
        <v>0</v>
      </c>
      <c r="BJ1805" s="93">
        <f>G1805*H1805</f>
        <v>0</v>
      </c>
      <c r="BK1805" s="93"/>
      <c r="BL1805" s="93">
        <v>764</v>
      </c>
      <c r="BW1805" s="93" t="str">
        <f>I1805</f>
        <v>21</v>
      </c>
      <c r="BX1805" s="2" t="s">
        <v>2298</v>
      </c>
    </row>
    <row r="1806" spans="1:76" s="81" customFormat="1" x14ac:dyDescent="0.25">
      <c r="A1806" s="110"/>
      <c r="B1806" s="95"/>
      <c r="C1806" s="95"/>
      <c r="D1806" s="76" t="s">
        <v>54</v>
      </c>
      <c r="E1806" s="76" t="s">
        <v>2258</v>
      </c>
      <c r="F1806" s="95"/>
      <c r="G1806" s="96">
        <v>0</v>
      </c>
      <c r="H1806" s="97"/>
      <c r="I1806" s="95"/>
      <c r="J1806" s="95"/>
      <c r="K1806" s="95"/>
      <c r="L1806" s="95"/>
      <c r="M1806" s="95"/>
      <c r="N1806" s="95"/>
      <c r="O1806" s="95"/>
      <c r="P1806" s="95"/>
    </row>
    <row r="1807" spans="1:76" s="81" customFormat="1" x14ac:dyDescent="0.25">
      <c r="A1807" s="110"/>
      <c r="B1807" s="95"/>
      <c r="C1807" s="95"/>
      <c r="D1807" s="76" t="s">
        <v>2299</v>
      </c>
      <c r="E1807" s="76" t="s">
        <v>2300</v>
      </c>
      <c r="F1807" s="95"/>
      <c r="G1807" s="96">
        <v>3.4</v>
      </c>
      <c r="H1807" s="97"/>
      <c r="I1807" s="95"/>
      <c r="J1807" s="95"/>
      <c r="K1807" s="95"/>
      <c r="L1807" s="95"/>
      <c r="M1807" s="95"/>
      <c r="N1807" s="95"/>
      <c r="O1807" s="95"/>
      <c r="P1807" s="95"/>
    </row>
    <row r="1808" spans="1:76" s="81" customFormat="1" ht="25.5" x14ac:dyDescent="0.25">
      <c r="A1808" s="66" t="s">
        <v>2307</v>
      </c>
      <c r="B1808" s="72" t="s">
        <v>55</v>
      </c>
      <c r="C1808" s="72" t="s">
        <v>2302</v>
      </c>
      <c r="D1808" s="174" t="s">
        <v>2303</v>
      </c>
      <c r="E1808" s="174"/>
      <c r="F1808" s="72" t="s">
        <v>213</v>
      </c>
      <c r="G1808" s="90">
        <v>30.2</v>
      </c>
      <c r="H1808" s="91"/>
      <c r="I1808" s="92" t="s">
        <v>63</v>
      </c>
      <c r="J1808" s="90">
        <f>G1808*AO1808</f>
        <v>0</v>
      </c>
      <c r="K1808" s="90">
        <f>G1808*AP1808</f>
        <v>0</v>
      </c>
      <c r="L1808" s="90">
        <f>G1808*H1808</f>
        <v>0</v>
      </c>
      <c r="M1808" s="90">
        <f>L1808*(1+BW1808/100)</f>
        <v>0</v>
      </c>
      <c r="N1808" s="90">
        <v>4.2100000000000002E-3</v>
      </c>
      <c r="O1808" s="90">
        <f>G1808*N1808</f>
        <v>0.12714200000000001</v>
      </c>
      <c r="P1808" s="92" t="s">
        <v>64</v>
      </c>
      <c r="Z1808" s="93">
        <f>IF(AQ1808="5",BJ1808,0)</f>
        <v>0</v>
      </c>
      <c r="AB1808" s="93">
        <f>IF(AQ1808="1",BH1808,0)</f>
        <v>0</v>
      </c>
      <c r="AC1808" s="93">
        <f>IF(AQ1808="1",BI1808,0)</f>
        <v>0</v>
      </c>
      <c r="AD1808" s="93">
        <f>IF(AQ1808="7",BH1808,0)</f>
        <v>0</v>
      </c>
      <c r="AE1808" s="93">
        <f>IF(AQ1808="7",BI1808,0)</f>
        <v>0</v>
      </c>
      <c r="AF1808" s="93">
        <f>IF(AQ1808="2",BH1808,0)</f>
        <v>0</v>
      </c>
      <c r="AG1808" s="93">
        <f>IF(AQ1808="2",BI1808,0)</f>
        <v>0</v>
      </c>
      <c r="AH1808" s="93">
        <f>IF(AQ1808="0",BJ1808,0)</f>
        <v>0</v>
      </c>
      <c r="AI1808" s="88" t="s">
        <v>55</v>
      </c>
      <c r="AJ1808" s="93">
        <f>IF(AN1808=0,L1808,0)</f>
        <v>0</v>
      </c>
      <c r="AK1808" s="93">
        <f>IF(AN1808=12,L1808,0)</f>
        <v>0</v>
      </c>
      <c r="AL1808" s="93">
        <f>IF(AN1808=21,L1808,0)</f>
        <v>0</v>
      </c>
      <c r="AN1808" s="93">
        <v>21</v>
      </c>
      <c r="AO1808" s="93">
        <f>H1808*0.659608166</f>
        <v>0</v>
      </c>
      <c r="AP1808" s="93">
        <f>H1808*(1-0.659608166)</f>
        <v>0</v>
      </c>
      <c r="AQ1808" s="94" t="s">
        <v>148</v>
      </c>
      <c r="AV1808" s="93">
        <f>AW1808+AX1808</f>
        <v>0</v>
      </c>
      <c r="AW1808" s="93">
        <f>G1808*AO1808</f>
        <v>0</v>
      </c>
      <c r="AX1808" s="93">
        <f>G1808*AP1808</f>
        <v>0</v>
      </c>
      <c r="AY1808" s="94" t="s">
        <v>2257</v>
      </c>
      <c r="AZ1808" s="94" t="s">
        <v>2247</v>
      </c>
      <c r="BA1808" s="88" t="s">
        <v>67</v>
      </c>
      <c r="BC1808" s="93">
        <f>AW1808+AX1808</f>
        <v>0</v>
      </c>
      <c r="BD1808" s="93">
        <f>H1808/(100-BE1808)*100</f>
        <v>0</v>
      </c>
      <c r="BE1808" s="93">
        <v>0</v>
      </c>
      <c r="BF1808" s="93">
        <f>O1808</f>
        <v>0.12714200000000001</v>
      </c>
      <c r="BH1808" s="93">
        <f>G1808*AO1808</f>
        <v>0</v>
      </c>
      <c r="BI1808" s="93">
        <f>G1808*AP1808</f>
        <v>0</v>
      </c>
      <c r="BJ1808" s="93">
        <f>G1808*H1808</f>
        <v>0</v>
      </c>
      <c r="BK1808" s="93"/>
      <c r="BL1808" s="93">
        <v>764</v>
      </c>
      <c r="BW1808" s="93" t="str">
        <f>I1808</f>
        <v>21</v>
      </c>
      <c r="BX1808" s="2" t="s">
        <v>2303</v>
      </c>
    </row>
    <row r="1809" spans="1:76" s="81" customFormat="1" x14ac:dyDescent="0.25">
      <c r="A1809" s="110"/>
      <c r="B1809" s="95"/>
      <c r="C1809" s="95"/>
      <c r="D1809" s="76" t="s">
        <v>54</v>
      </c>
      <c r="E1809" s="76" t="s">
        <v>2304</v>
      </c>
      <c r="F1809" s="95"/>
      <c r="G1809" s="96">
        <v>0</v>
      </c>
      <c r="H1809" s="97"/>
      <c r="I1809" s="95"/>
      <c r="J1809" s="95"/>
      <c r="K1809" s="95"/>
      <c r="L1809" s="95"/>
      <c r="M1809" s="95"/>
      <c r="N1809" s="95"/>
      <c r="O1809" s="95"/>
      <c r="P1809" s="95"/>
    </row>
    <row r="1810" spans="1:76" s="81" customFormat="1" x14ac:dyDescent="0.25">
      <c r="A1810" s="110"/>
      <c r="B1810" s="95"/>
      <c r="C1810" s="95"/>
      <c r="D1810" s="76" t="s">
        <v>2305</v>
      </c>
      <c r="E1810" s="76" t="s">
        <v>2306</v>
      </c>
      <c r="F1810" s="95"/>
      <c r="G1810" s="96">
        <v>30.2</v>
      </c>
      <c r="H1810" s="97"/>
      <c r="I1810" s="95"/>
      <c r="J1810" s="95"/>
      <c r="K1810" s="95"/>
      <c r="L1810" s="95"/>
      <c r="M1810" s="95"/>
      <c r="N1810" s="95"/>
      <c r="O1810" s="95"/>
      <c r="P1810" s="95"/>
    </row>
    <row r="1811" spans="1:76" s="81" customFormat="1" ht="25.5" x14ac:dyDescent="0.25">
      <c r="A1811" s="66" t="s">
        <v>2312</v>
      </c>
      <c r="B1811" s="72" t="s">
        <v>55</v>
      </c>
      <c r="C1811" s="72" t="s">
        <v>2308</v>
      </c>
      <c r="D1811" s="174" t="s">
        <v>2309</v>
      </c>
      <c r="E1811" s="174"/>
      <c r="F1811" s="72" t="s">
        <v>213</v>
      </c>
      <c r="G1811" s="90">
        <v>212.1</v>
      </c>
      <c r="H1811" s="91"/>
      <c r="I1811" s="92" t="s">
        <v>63</v>
      </c>
      <c r="J1811" s="90">
        <f>G1811*AO1811</f>
        <v>0</v>
      </c>
      <c r="K1811" s="90">
        <f>G1811*AP1811</f>
        <v>0</v>
      </c>
      <c r="L1811" s="90">
        <f>G1811*H1811</f>
        <v>0</v>
      </c>
      <c r="M1811" s="90">
        <f>L1811*(1+BW1811/100)</f>
        <v>0</v>
      </c>
      <c r="N1811" s="90">
        <v>6.3899999999999998E-3</v>
      </c>
      <c r="O1811" s="90">
        <f>G1811*N1811</f>
        <v>1.3553189999999999</v>
      </c>
      <c r="P1811" s="92" t="s">
        <v>371</v>
      </c>
      <c r="Z1811" s="93">
        <f>IF(AQ1811="5",BJ1811,0)</f>
        <v>0</v>
      </c>
      <c r="AB1811" s="93">
        <f>IF(AQ1811="1",BH1811,0)</f>
        <v>0</v>
      </c>
      <c r="AC1811" s="93">
        <f>IF(AQ1811="1",BI1811,0)</f>
        <v>0</v>
      </c>
      <c r="AD1811" s="93">
        <f>IF(AQ1811="7",BH1811,0)</f>
        <v>0</v>
      </c>
      <c r="AE1811" s="93">
        <f>IF(AQ1811="7",BI1811,0)</f>
        <v>0</v>
      </c>
      <c r="AF1811" s="93">
        <f>IF(AQ1811="2",BH1811,0)</f>
        <v>0</v>
      </c>
      <c r="AG1811" s="93">
        <f>IF(AQ1811="2",BI1811,0)</f>
        <v>0</v>
      </c>
      <c r="AH1811" s="93">
        <f>IF(AQ1811="0",BJ1811,0)</f>
        <v>0</v>
      </c>
      <c r="AI1811" s="88" t="s">
        <v>55</v>
      </c>
      <c r="AJ1811" s="93">
        <f>IF(AN1811=0,L1811,0)</f>
        <v>0</v>
      </c>
      <c r="AK1811" s="93">
        <f>IF(AN1811=12,L1811,0)</f>
        <v>0</v>
      </c>
      <c r="AL1811" s="93">
        <f>IF(AN1811=21,L1811,0)</f>
        <v>0</v>
      </c>
      <c r="AN1811" s="93">
        <v>21</v>
      </c>
      <c r="AO1811" s="93">
        <f>H1811*0.642734899</f>
        <v>0</v>
      </c>
      <c r="AP1811" s="93">
        <f>H1811*(1-0.642734899)</f>
        <v>0</v>
      </c>
      <c r="AQ1811" s="94" t="s">
        <v>148</v>
      </c>
      <c r="AV1811" s="93">
        <f>AW1811+AX1811</f>
        <v>0</v>
      </c>
      <c r="AW1811" s="93">
        <f>G1811*AO1811</f>
        <v>0</v>
      </c>
      <c r="AX1811" s="93">
        <f>G1811*AP1811</f>
        <v>0</v>
      </c>
      <c r="AY1811" s="94" t="s">
        <v>2257</v>
      </c>
      <c r="AZ1811" s="94" t="s">
        <v>2247</v>
      </c>
      <c r="BA1811" s="88" t="s">
        <v>67</v>
      </c>
      <c r="BC1811" s="93">
        <f>AW1811+AX1811</f>
        <v>0</v>
      </c>
      <c r="BD1811" s="93">
        <f>H1811/(100-BE1811)*100</f>
        <v>0</v>
      </c>
      <c r="BE1811" s="93">
        <v>0</v>
      </c>
      <c r="BF1811" s="93">
        <f>O1811</f>
        <v>1.3553189999999999</v>
      </c>
      <c r="BH1811" s="93">
        <f>G1811*AO1811</f>
        <v>0</v>
      </c>
      <c r="BI1811" s="93">
        <f>G1811*AP1811</f>
        <v>0</v>
      </c>
      <c r="BJ1811" s="93">
        <f>G1811*H1811</f>
        <v>0</v>
      </c>
      <c r="BK1811" s="93"/>
      <c r="BL1811" s="93">
        <v>764</v>
      </c>
      <c r="BW1811" s="93" t="str">
        <f>I1811</f>
        <v>21</v>
      </c>
      <c r="BX1811" s="2" t="s">
        <v>2309</v>
      </c>
    </row>
    <row r="1812" spans="1:76" s="81" customFormat="1" x14ac:dyDescent="0.25">
      <c r="A1812" s="110"/>
      <c r="B1812" s="95"/>
      <c r="C1812" s="95"/>
      <c r="D1812" s="76" t="s">
        <v>54</v>
      </c>
      <c r="E1812" s="76" t="s">
        <v>2304</v>
      </c>
      <c r="F1812" s="95"/>
      <c r="G1812" s="96">
        <v>0</v>
      </c>
      <c r="H1812" s="97"/>
      <c r="I1812" s="95"/>
      <c r="J1812" s="95"/>
      <c r="K1812" s="95"/>
      <c r="L1812" s="95"/>
      <c r="M1812" s="95"/>
      <c r="N1812" s="95"/>
      <c r="O1812" s="95"/>
      <c r="P1812" s="95"/>
    </row>
    <row r="1813" spans="1:76" s="81" customFormat="1" x14ac:dyDescent="0.25">
      <c r="A1813" s="110"/>
      <c r="B1813" s="95"/>
      <c r="C1813" s="95"/>
      <c r="D1813" s="76" t="s">
        <v>2310</v>
      </c>
      <c r="E1813" s="76" t="s">
        <v>2311</v>
      </c>
      <c r="F1813" s="95"/>
      <c r="G1813" s="96">
        <v>212.1</v>
      </c>
      <c r="H1813" s="97"/>
      <c r="I1813" s="95"/>
      <c r="J1813" s="95"/>
      <c r="K1813" s="95"/>
      <c r="L1813" s="95"/>
      <c r="M1813" s="95"/>
      <c r="N1813" s="95"/>
      <c r="O1813" s="95"/>
      <c r="P1813" s="95"/>
    </row>
    <row r="1814" spans="1:76" s="81" customFormat="1" ht="25.5" x14ac:dyDescent="0.25">
      <c r="A1814" s="66" t="s">
        <v>2317</v>
      </c>
      <c r="B1814" s="72" t="s">
        <v>55</v>
      </c>
      <c r="C1814" s="72" t="s">
        <v>2313</v>
      </c>
      <c r="D1814" s="174" t="s">
        <v>2314</v>
      </c>
      <c r="E1814" s="174"/>
      <c r="F1814" s="72" t="s">
        <v>213</v>
      </c>
      <c r="G1814" s="90">
        <v>11.5</v>
      </c>
      <c r="H1814" s="91"/>
      <c r="I1814" s="92" t="s">
        <v>63</v>
      </c>
      <c r="J1814" s="90">
        <f>G1814*AO1814</f>
        <v>0</v>
      </c>
      <c r="K1814" s="90">
        <f>G1814*AP1814</f>
        <v>0</v>
      </c>
      <c r="L1814" s="90">
        <f>G1814*H1814</f>
        <v>0</v>
      </c>
      <c r="M1814" s="90">
        <f>L1814*(1+BW1814/100)</f>
        <v>0</v>
      </c>
      <c r="N1814" s="90">
        <v>6.3899999999999998E-3</v>
      </c>
      <c r="O1814" s="90">
        <f>G1814*N1814</f>
        <v>7.3484999999999995E-2</v>
      </c>
      <c r="P1814" s="92" t="s">
        <v>371</v>
      </c>
      <c r="Z1814" s="93">
        <f>IF(AQ1814="5",BJ1814,0)</f>
        <v>0</v>
      </c>
      <c r="AB1814" s="93">
        <f>IF(AQ1814="1",BH1814,0)</f>
        <v>0</v>
      </c>
      <c r="AC1814" s="93">
        <f>IF(AQ1814="1",BI1814,0)</f>
        <v>0</v>
      </c>
      <c r="AD1814" s="93">
        <f>IF(AQ1814="7",BH1814,0)</f>
        <v>0</v>
      </c>
      <c r="AE1814" s="93">
        <f>IF(AQ1814="7",BI1814,0)</f>
        <v>0</v>
      </c>
      <c r="AF1814" s="93">
        <f>IF(AQ1814="2",BH1814,0)</f>
        <v>0</v>
      </c>
      <c r="AG1814" s="93">
        <f>IF(AQ1814="2",BI1814,0)</f>
        <v>0</v>
      </c>
      <c r="AH1814" s="93">
        <f>IF(AQ1814="0",BJ1814,0)</f>
        <v>0</v>
      </c>
      <c r="AI1814" s="88" t="s">
        <v>55</v>
      </c>
      <c r="AJ1814" s="93">
        <f>IF(AN1814=0,L1814,0)</f>
        <v>0</v>
      </c>
      <c r="AK1814" s="93">
        <f>IF(AN1814=12,L1814,0)</f>
        <v>0</v>
      </c>
      <c r="AL1814" s="93">
        <f>IF(AN1814=21,L1814,0)</f>
        <v>0</v>
      </c>
      <c r="AN1814" s="93">
        <v>21</v>
      </c>
      <c r="AO1814" s="93">
        <f>H1814*0.642734437</f>
        <v>0</v>
      </c>
      <c r="AP1814" s="93">
        <f>H1814*(1-0.642734437)</f>
        <v>0</v>
      </c>
      <c r="AQ1814" s="94" t="s">
        <v>148</v>
      </c>
      <c r="AV1814" s="93">
        <f>AW1814+AX1814</f>
        <v>0</v>
      </c>
      <c r="AW1814" s="93">
        <f>G1814*AO1814</f>
        <v>0</v>
      </c>
      <c r="AX1814" s="93">
        <f>G1814*AP1814</f>
        <v>0</v>
      </c>
      <c r="AY1814" s="94" t="s">
        <v>2257</v>
      </c>
      <c r="AZ1814" s="94" t="s">
        <v>2247</v>
      </c>
      <c r="BA1814" s="88" t="s">
        <v>67</v>
      </c>
      <c r="BC1814" s="93">
        <f>AW1814+AX1814</f>
        <v>0</v>
      </c>
      <c r="BD1814" s="93">
        <f>H1814/(100-BE1814)*100</f>
        <v>0</v>
      </c>
      <c r="BE1814" s="93">
        <v>0</v>
      </c>
      <c r="BF1814" s="93">
        <f>O1814</f>
        <v>7.3484999999999995E-2</v>
      </c>
      <c r="BH1814" s="93">
        <f>G1814*AO1814</f>
        <v>0</v>
      </c>
      <c r="BI1814" s="93">
        <f>G1814*AP1814</f>
        <v>0</v>
      </c>
      <c r="BJ1814" s="93">
        <f>G1814*H1814</f>
        <v>0</v>
      </c>
      <c r="BK1814" s="93"/>
      <c r="BL1814" s="93">
        <v>764</v>
      </c>
      <c r="BW1814" s="93" t="str">
        <f>I1814</f>
        <v>21</v>
      </c>
      <c r="BX1814" s="2" t="s">
        <v>2314</v>
      </c>
    </row>
    <row r="1815" spans="1:76" s="81" customFormat="1" x14ac:dyDescent="0.25">
      <c r="A1815" s="110"/>
      <c r="B1815" s="95"/>
      <c r="C1815" s="95"/>
      <c r="D1815" s="76" t="s">
        <v>54</v>
      </c>
      <c r="E1815" s="76" t="s">
        <v>2304</v>
      </c>
      <c r="F1815" s="95"/>
      <c r="G1815" s="96">
        <v>0</v>
      </c>
      <c r="H1815" s="97"/>
      <c r="I1815" s="95"/>
      <c r="J1815" s="95"/>
      <c r="K1815" s="95"/>
      <c r="L1815" s="95"/>
      <c r="M1815" s="95"/>
      <c r="N1815" s="95"/>
      <c r="O1815" s="95"/>
      <c r="P1815" s="95"/>
    </row>
    <row r="1816" spans="1:76" s="81" customFormat="1" x14ac:dyDescent="0.25">
      <c r="A1816" s="110"/>
      <c r="B1816" s="95"/>
      <c r="C1816" s="95"/>
      <c r="D1816" s="76" t="s">
        <v>2315</v>
      </c>
      <c r="E1816" s="76" t="s">
        <v>2316</v>
      </c>
      <c r="F1816" s="95"/>
      <c r="G1816" s="96">
        <v>11.5</v>
      </c>
      <c r="H1816" s="97"/>
      <c r="I1816" s="95"/>
      <c r="J1816" s="95"/>
      <c r="K1816" s="95"/>
      <c r="L1816" s="95"/>
      <c r="M1816" s="95"/>
      <c r="N1816" s="95"/>
      <c r="O1816" s="95"/>
      <c r="P1816" s="95"/>
    </row>
    <row r="1817" spans="1:76" s="81" customFormat="1" ht="25.5" x14ac:dyDescent="0.25">
      <c r="A1817" s="66" t="s">
        <v>2320</v>
      </c>
      <c r="B1817" s="72" t="s">
        <v>55</v>
      </c>
      <c r="C1817" s="72" t="s">
        <v>2250</v>
      </c>
      <c r="D1817" s="174" t="s">
        <v>2251</v>
      </c>
      <c r="E1817" s="174"/>
      <c r="F1817" s="72" t="s">
        <v>1447</v>
      </c>
      <c r="G1817" s="91"/>
      <c r="H1817" s="91"/>
      <c r="I1817" s="92" t="s">
        <v>63</v>
      </c>
      <c r="J1817" s="90">
        <f>G1817*AO1817</f>
        <v>0</v>
      </c>
      <c r="K1817" s="90">
        <f>G1817*AP1817</f>
        <v>0</v>
      </c>
      <c r="L1817" s="90">
        <f>G1817*H1817</f>
        <v>0</v>
      </c>
      <c r="M1817" s="90">
        <f>L1817*(1+BW1817/100)</f>
        <v>0</v>
      </c>
      <c r="N1817" s="90">
        <v>0</v>
      </c>
      <c r="O1817" s="90">
        <f>G1817*N1817</f>
        <v>0</v>
      </c>
      <c r="P1817" s="92" t="s">
        <v>64</v>
      </c>
      <c r="Z1817" s="93">
        <f>IF(AQ1817="5",BJ1817,0)</f>
        <v>0</v>
      </c>
      <c r="AB1817" s="93">
        <f>IF(AQ1817="1",BH1817,0)</f>
        <v>0</v>
      </c>
      <c r="AC1817" s="93">
        <f>IF(AQ1817="1",BI1817,0)</f>
        <v>0</v>
      </c>
      <c r="AD1817" s="93">
        <f>IF(AQ1817="7",BH1817,0)</f>
        <v>0</v>
      </c>
      <c r="AE1817" s="93">
        <f>IF(AQ1817="7",BI1817,0)</f>
        <v>0</v>
      </c>
      <c r="AF1817" s="93">
        <f>IF(AQ1817="2",BH1817,0)</f>
        <v>0</v>
      </c>
      <c r="AG1817" s="93">
        <f>IF(AQ1817="2",BI1817,0)</f>
        <v>0</v>
      </c>
      <c r="AH1817" s="93">
        <f>IF(AQ1817="0",BJ1817,0)</f>
        <v>0</v>
      </c>
      <c r="AI1817" s="88" t="s">
        <v>55</v>
      </c>
      <c r="AJ1817" s="93">
        <f>IF(AN1817=0,L1817,0)</f>
        <v>0</v>
      </c>
      <c r="AK1817" s="93">
        <f>IF(AN1817=12,L1817,0)</f>
        <v>0</v>
      </c>
      <c r="AL1817" s="93">
        <f>IF(AN1817=21,L1817,0)</f>
        <v>0</v>
      </c>
      <c r="AN1817" s="93">
        <v>21</v>
      </c>
      <c r="AO1817" s="93">
        <f>H1817*0</f>
        <v>0</v>
      </c>
      <c r="AP1817" s="93">
        <f>H1817*(1-0)</f>
        <v>0</v>
      </c>
      <c r="AQ1817" s="94" t="s">
        <v>136</v>
      </c>
      <c r="AV1817" s="93">
        <f>AW1817+AX1817</f>
        <v>0</v>
      </c>
      <c r="AW1817" s="93">
        <f>G1817*AO1817</f>
        <v>0</v>
      </c>
      <c r="AX1817" s="93">
        <f>G1817*AP1817</f>
        <v>0</v>
      </c>
      <c r="AY1817" s="94" t="s">
        <v>2257</v>
      </c>
      <c r="AZ1817" s="94" t="s">
        <v>2247</v>
      </c>
      <c r="BA1817" s="88" t="s">
        <v>67</v>
      </c>
      <c r="BC1817" s="93">
        <f>AW1817+AX1817</f>
        <v>0</v>
      </c>
      <c r="BD1817" s="93">
        <f>H1817/(100-BE1817)*100</f>
        <v>0</v>
      </c>
      <c r="BE1817" s="93">
        <v>0</v>
      </c>
      <c r="BF1817" s="93">
        <f>O1817</f>
        <v>0</v>
      </c>
      <c r="BH1817" s="93">
        <f>G1817*AO1817</f>
        <v>0</v>
      </c>
      <c r="BI1817" s="93">
        <f>G1817*AP1817</f>
        <v>0</v>
      </c>
      <c r="BJ1817" s="93">
        <f>G1817*H1817</f>
        <v>0</v>
      </c>
      <c r="BK1817" s="93"/>
      <c r="BL1817" s="93">
        <v>764</v>
      </c>
      <c r="BW1817" s="93" t="str">
        <f>I1817</f>
        <v>21</v>
      </c>
      <c r="BX1817" s="2" t="s">
        <v>2251</v>
      </c>
    </row>
    <row r="1818" spans="1:76" s="81" customFormat="1" x14ac:dyDescent="0.25">
      <c r="A1818" s="109" t="s">
        <v>54</v>
      </c>
      <c r="B1818" s="74" t="s">
        <v>55</v>
      </c>
      <c r="C1818" s="74" t="s">
        <v>2318</v>
      </c>
      <c r="D1818" s="180" t="s">
        <v>2319</v>
      </c>
      <c r="E1818" s="180"/>
      <c r="F1818" s="85" t="s">
        <v>4</v>
      </c>
      <c r="G1818" s="85" t="s">
        <v>4</v>
      </c>
      <c r="H1818" s="98"/>
      <c r="I1818" s="85" t="s">
        <v>4</v>
      </c>
      <c r="J1818" s="86">
        <f>SUM(J1819:J1893)</f>
        <v>0</v>
      </c>
      <c r="K1818" s="86">
        <f>SUM(K1819:K1893)</f>
        <v>0</v>
      </c>
      <c r="L1818" s="86">
        <f>SUM(L1819:L1893)</f>
        <v>0</v>
      </c>
      <c r="M1818" s="86">
        <f>SUM(M1819:M1893)</f>
        <v>0</v>
      </c>
      <c r="N1818" s="87" t="s">
        <v>54</v>
      </c>
      <c r="O1818" s="86">
        <f>SUM(O1819:O1893)</f>
        <v>1.3999999999999997</v>
      </c>
      <c r="P1818" s="87" t="s">
        <v>54</v>
      </c>
      <c r="AI1818" s="88" t="s">
        <v>55</v>
      </c>
      <c r="AS1818" s="89">
        <f>SUM(AJ1819:AJ1893)</f>
        <v>0</v>
      </c>
      <c r="AT1818" s="89">
        <f>SUM(AK1819:AK1893)</f>
        <v>0</v>
      </c>
      <c r="AU1818" s="89">
        <f>SUM(AL1819:AL1893)</f>
        <v>0</v>
      </c>
    </row>
    <row r="1819" spans="1:76" s="81" customFormat="1" ht="25.5" x14ac:dyDescent="0.25">
      <c r="A1819" s="66" t="s">
        <v>2324</v>
      </c>
      <c r="B1819" s="72" t="s">
        <v>55</v>
      </c>
      <c r="C1819" s="72" t="s">
        <v>2321</v>
      </c>
      <c r="D1819" s="174" t="s">
        <v>4326</v>
      </c>
      <c r="E1819" s="174"/>
      <c r="F1819" s="72" t="s">
        <v>203</v>
      </c>
      <c r="G1819" s="90">
        <v>1</v>
      </c>
      <c r="H1819" s="91"/>
      <c r="I1819" s="92" t="s">
        <v>63</v>
      </c>
      <c r="J1819" s="90">
        <f t="shared" ref="J1819:J1864" si="333">G1819*AO1819</f>
        <v>0</v>
      </c>
      <c r="K1819" s="90">
        <f t="shared" ref="K1819:K1864" si="334">G1819*AP1819</f>
        <v>0</v>
      </c>
      <c r="L1819" s="90">
        <f t="shared" ref="L1819:L1864" si="335">G1819*H1819</f>
        <v>0</v>
      </c>
      <c r="M1819" s="90">
        <f t="shared" ref="M1819:M1864" si="336">L1819*(1+BW1819/100)</f>
        <v>0</v>
      </c>
      <c r="N1819" s="90">
        <v>0</v>
      </c>
      <c r="O1819" s="90">
        <f t="shared" ref="O1819:O1864" si="337">G1819*N1819</f>
        <v>0</v>
      </c>
      <c r="P1819" s="92" t="s">
        <v>578</v>
      </c>
      <c r="Z1819" s="93">
        <f t="shared" ref="Z1819:Z1864" si="338">IF(AQ1819="5",BJ1819,0)</f>
        <v>0</v>
      </c>
      <c r="AB1819" s="93">
        <f t="shared" ref="AB1819:AB1864" si="339">IF(AQ1819="1",BH1819,0)</f>
        <v>0</v>
      </c>
      <c r="AC1819" s="93">
        <f t="shared" ref="AC1819:AC1864" si="340">IF(AQ1819="1",BI1819,0)</f>
        <v>0</v>
      </c>
      <c r="AD1819" s="93">
        <f t="shared" ref="AD1819:AD1864" si="341">IF(AQ1819="7",BH1819,0)</f>
        <v>0</v>
      </c>
      <c r="AE1819" s="93">
        <f t="shared" ref="AE1819:AE1864" si="342">IF(AQ1819="7",BI1819,0)</f>
        <v>0</v>
      </c>
      <c r="AF1819" s="93">
        <f t="shared" ref="AF1819:AF1864" si="343">IF(AQ1819="2",BH1819,0)</f>
        <v>0</v>
      </c>
      <c r="AG1819" s="93">
        <f t="shared" ref="AG1819:AG1864" si="344">IF(AQ1819="2",BI1819,0)</f>
        <v>0</v>
      </c>
      <c r="AH1819" s="93">
        <f t="shared" ref="AH1819:AH1864" si="345">IF(AQ1819="0",BJ1819,0)</f>
        <v>0</v>
      </c>
      <c r="AI1819" s="88" t="s">
        <v>55</v>
      </c>
      <c r="AJ1819" s="93">
        <f t="shared" ref="AJ1819:AJ1864" si="346">IF(AN1819=0,L1819,0)</f>
        <v>0</v>
      </c>
      <c r="AK1819" s="93">
        <f t="shared" ref="AK1819:AK1864" si="347">IF(AN1819=12,L1819,0)</f>
        <v>0</v>
      </c>
      <c r="AL1819" s="93">
        <f t="shared" ref="AL1819:AL1864" si="348">IF(AN1819=21,L1819,0)</f>
        <v>0</v>
      </c>
      <c r="AN1819" s="93">
        <v>21</v>
      </c>
      <c r="AO1819" s="93">
        <f>H1819*0.851470848</f>
        <v>0</v>
      </c>
      <c r="AP1819" s="93">
        <f>H1819*(1-0.851470848)</f>
        <v>0</v>
      </c>
      <c r="AQ1819" s="94" t="s">
        <v>148</v>
      </c>
      <c r="AV1819" s="93">
        <f t="shared" ref="AV1819:AV1864" si="349">AW1819+AX1819</f>
        <v>0</v>
      </c>
      <c r="AW1819" s="93">
        <f t="shared" ref="AW1819:AW1864" si="350">G1819*AO1819</f>
        <v>0</v>
      </c>
      <c r="AX1819" s="93">
        <f t="shared" ref="AX1819:AX1864" si="351">G1819*AP1819</f>
        <v>0</v>
      </c>
      <c r="AY1819" s="94" t="s">
        <v>2323</v>
      </c>
      <c r="AZ1819" s="94" t="s">
        <v>2247</v>
      </c>
      <c r="BA1819" s="88" t="s">
        <v>67</v>
      </c>
      <c r="BC1819" s="93">
        <f t="shared" ref="BC1819:BC1864" si="352">AW1819+AX1819</f>
        <v>0</v>
      </c>
      <c r="BD1819" s="93">
        <f t="shared" ref="BD1819:BD1864" si="353">H1819/(100-BE1819)*100</f>
        <v>0</v>
      </c>
      <c r="BE1819" s="93">
        <v>0</v>
      </c>
      <c r="BF1819" s="93">
        <f t="shared" ref="BF1819:BF1864" si="354">O1819</f>
        <v>0</v>
      </c>
      <c r="BH1819" s="93">
        <f t="shared" ref="BH1819:BH1864" si="355">G1819*AO1819</f>
        <v>0</v>
      </c>
      <c r="BI1819" s="93">
        <f t="shared" ref="BI1819:BI1864" si="356">G1819*AP1819</f>
        <v>0</v>
      </c>
      <c r="BJ1819" s="93">
        <f t="shared" ref="BJ1819:BJ1864" si="357">G1819*H1819</f>
        <v>0</v>
      </c>
      <c r="BK1819" s="93"/>
      <c r="BL1819" s="93">
        <v>766</v>
      </c>
      <c r="BW1819" s="93" t="str">
        <f t="shared" ref="BW1819:BW1864" si="358">I1819</f>
        <v>21</v>
      </c>
      <c r="BX1819" s="2" t="s">
        <v>2322</v>
      </c>
    </row>
    <row r="1820" spans="1:76" s="81" customFormat="1" ht="25.5" x14ac:dyDescent="0.25">
      <c r="A1820" s="66" t="s">
        <v>2327</v>
      </c>
      <c r="B1820" s="72" t="s">
        <v>55</v>
      </c>
      <c r="C1820" s="72" t="s">
        <v>2325</v>
      </c>
      <c r="D1820" s="174" t="s">
        <v>2326</v>
      </c>
      <c r="E1820" s="174"/>
      <c r="F1820" s="72" t="s">
        <v>203</v>
      </c>
      <c r="G1820" s="90">
        <v>2</v>
      </c>
      <c r="H1820" s="91"/>
      <c r="I1820" s="92" t="s">
        <v>63</v>
      </c>
      <c r="J1820" s="90">
        <f t="shared" si="333"/>
        <v>0</v>
      </c>
      <c r="K1820" s="90">
        <f t="shared" si="334"/>
        <v>0</v>
      </c>
      <c r="L1820" s="90">
        <f t="shared" si="335"/>
        <v>0</v>
      </c>
      <c r="M1820" s="90">
        <f t="shared" si="336"/>
        <v>0</v>
      </c>
      <c r="N1820" s="90">
        <v>0</v>
      </c>
      <c r="O1820" s="90">
        <f t="shared" si="337"/>
        <v>0</v>
      </c>
      <c r="P1820" s="92" t="s">
        <v>578</v>
      </c>
      <c r="Z1820" s="93">
        <f t="shared" si="338"/>
        <v>0</v>
      </c>
      <c r="AB1820" s="93">
        <f t="shared" si="339"/>
        <v>0</v>
      </c>
      <c r="AC1820" s="93">
        <f t="shared" si="340"/>
        <v>0</v>
      </c>
      <c r="AD1820" s="93">
        <f t="shared" si="341"/>
        <v>0</v>
      </c>
      <c r="AE1820" s="93">
        <f t="shared" si="342"/>
        <v>0</v>
      </c>
      <c r="AF1820" s="93">
        <f t="shared" si="343"/>
        <v>0</v>
      </c>
      <c r="AG1820" s="93">
        <f t="shared" si="344"/>
        <v>0</v>
      </c>
      <c r="AH1820" s="93">
        <f t="shared" si="345"/>
        <v>0</v>
      </c>
      <c r="AI1820" s="88" t="s">
        <v>55</v>
      </c>
      <c r="AJ1820" s="93">
        <f t="shared" si="346"/>
        <v>0</v>
      </c>
      <c r="AK1820" s="93">
        <f t="shared" si="347"/>
        <v>0</v>
      </c>
      <c r="AL1820" s="93">
        <f t="shared" si="348"/>
        <v>0</v>
      </c>
      <c r="AN1820" s="93">
        <v>21</v>
      </c>
      <c r="AO1820" s="93">
        <f>H1820*0.851471305</f>
        <v>0</v>
      </c>
      <c r="AP1820" s="93">
        <f>H1820*(1-0.851471305)</f>
        <v>0</v>
      </c>
      <c r="AQ1820" s="94" t="s">
        <v>148</v>
      </c>
      <c r="AV1820" s="93">
        <f t="shared" si="349"/>
        <v>0</v>
      </c>
      <c r="AW1820" s="93">
        <f t="shared" si="350"/>
        <v>0</v>
      </c>
      <c r="AX1820" s="93">
        <f t="shared" si="351"/>
        <v>0</v>
      </c>
      <c r="AY1820" s="94" t="s">
        <v>2323</v>
      </c>
      <c r="AZ1820" s="94" t="s">
        <v>2247</v>
      </c>
      <c r="BA1820" s="88" t="s">
        <v>67</v>
      </c>
      <c r="BC1820" s="93">
        <f t="shared" si="352"/>
        <v>0</v>
      </c>
      <c r="BD1820" s="93">
        <f t="shared" si="353"/>
        <v>0</v>
      </c>
      <c r="BE1820" s="93">
        <v>0</v>
      </c>
      <c r="BF1820" s="93">
        <f t="shared" si="354"/>
        <v>0</v>
      </c>
      <c r="BH1820" s="93">
        <f t="shared" si="355"/>
        <v>0</v>
      </c>
      <c r="BI1820" s="93">
        <f t="shared" si="356"/>
        <v>0</v>
      </c>
      <c r="BJ1820" s="93">
        <f t="shared" si="357"/>
        <v>0</v>
      </c>
      <c r="BK1820" s="93"/>
      <c r="BL1820" s="93">
        <v>766</v>
      </c>
      <c r="BW1820" s="93" t="str">
        <f t="shared" si="358"/>
        <v>21</v>
      </c>
      <c r="BX1820" s="2" t="s">
        <v>2326</v>
      </c>
    </row>
    <row r="1821" spans="1:76" s="81" customFormat="1" ht="25.5" x14ac:dyDescent="0.25">
      <c r="A1821" s="66" t="s">
        <v>2330</v>
      </c>
      <c r="B1821" s="72" t="s">
        <v>55</v>
      </c>
      <c r="C1821" s="72" t="s">
        <v>2328</v>
      </c>
      <c r="D1821" s="174" t="s">
        <v>2329</v>
      </c>
      <c r="E1821" s="174"/>
      <c r="F1821" s="72" t="s">
        <v>203</v>
      </c>
      <c r="G1821" s="90">
        <v>1</v>
      </c>
      <c r="H1821" s="91"/>
      <c r="I1821" s="92" t="s">
        <v>63</v>
      </c>
      <c r="J1821" s="90">
        <f t="shared" si="333"/>
        <v>0</v>
      </c>
      <c r="K1821" s="90">
        <f t="shared" si="334"/>
        <v>0</v>
      </c>
      <c r="L1821" s="90">
        <f t="shared" si="335"/>
        <v>0</v>
      </c>
      <c r="M1821" s="90">
        <f t="shared" si="336"/>
        <v>0</v>
      </c>
      <c r="N1821" s="90">
        <v>0</v>
      </c>
      <c r="O1821" s="90">
        <f t="shared" si="337"/>
        <v>0</v>
      </c>
      <c r="P1821" s="92" t="s">
        <v>578</v>
      </c>
      <c r="Z1821" s="93">
        <f t="shared" si="338"/>
        <v>0</v>
      </c>
      <c r="AB1821" s="93">
        <f t="shared" si="339"/>
        <v>0</v>
      </c>
      <c r="AC1821" s="93">
        <f t="shared" si="340"/>
        <v>0</v>
      </c>
      <c r="AD1821" s="93">
        <f t="shared" si="341"/>
        <v>0</v>
      </c>
      <c r="AE1821" s="93">
        <f t="shared" si="342"/>
        <v>0</v>
      </c>
      <c r="AF1821" s="93">
        <f t="shared" si="343"/>
        <v>0</v>
      </c>
      <c r="AG1821" s="93">
        <f t="shared" si="344"/>
        <v>0</v>
      </c>
      <c r="AH1821" s="93">
        <f t="shared" si="345"/>
        <v>0</v>
      </c>
      <c r="AI1821" s="88" t="s">
        <v>55</v>
      </c>
      <c r="AJ1821" s="93">
        <f t="shared" si="346"/>
        <v>0</v>
      </c>
      <c r="AK1821" s="93">
        <f t="shared" si="347"/>
        <v>0</v>
      </c>
      <c r="AL1821" s="93">
        <f t="shared" si="348"/>
        <v>0</v>
      </c>
      <c r="AN1821" s="93">
        <v>21</v>
      </c>
      <c r="AO1821" s="93">
        <f>H1821*0.851471474</f>
        <v>0</v>
      </c>
      <c r="AP1821" s="93">
        <f>H1821*(1-0.851471474)</f>
        <v>0</v>
      </c>
      <c r="AQ1821" s="94" t="s">
        <v>148</v>
      </c>
      <c r="AV1821" s="93">
        <f t="shared" si="349"/>
        <v>0</v>
      </c>
      <c r="AW1821" s="93">
        <f t="shared" si="350"/>
        <v>0</v>
      </c>
      <c r="AX1821" s="93">
        <f t="shared" si="351"/>
        <v>0</v>
      </c>
      <c r="AY1821" s="94" t="s">
        <v>2323</v>
      </c>
      <c r="AZ1821" s="94" t="s">
        <v>2247</v>
      </c>
      <c r="BA1821" s="88" t="s">
        <v>67</v>
      </c>
      <c r="BC1821" s="93">
        <f t="shared" si="352"/>
        <v>0</v>
      </c>
      <c r="BD1821" s="93">
        <f t="shared" si="353"/>
        <v>0</v>
      </c>
      <c r="BE1821" s="93">
        <v>0</v>
      </c>
      <c r="BF1821" s="93">
        <f t="shared" si="354"/>
        <v>0</v>
      </c>
      <c r="BH1821" s="93">
        <f t="shared" si="355"/>
        <v>0</v>
      </c>
      <c r="BI1821" s="93">
        <f t="shared" si="356"/>
        <v>0</v>
      </c>
      <c r="BJ1821" s="93">
        <f t="shared" si="357"/>
        <v>0</v>
      </c>
      <c r="BK1821" s="93"/>
      <c r="BL1821" s="93">
        <v>766</v>
      </c>
      <c r="BW1821" s="93" t="str">
        <f t="shared" si="358"/>
        <v>21</v>
      </c>
      <c r="BX1821" s="2" t="s">
        <v>2329</v>
      </c>
    </row>
    <row r="1822" spans="1:76" s="81" customFormat="1" ht="25.5" x14ac:dyDescent="0.25">
      <c r="A1822" s="66" t="s">
        <v>2333</v>
      </c>
      <c r="B1822" s="72" t="s">
        <v>55</v>
      </c>
      <c r="C1822" s="72" t="s">
        <v>2331</v>
      </c>
      <c r="D1822" s="174" t="s">
        <v>2332</v>
      </c>
      <c r="E1822" s="174"/>
      <c r="F1822" s="72" t="s">
        <v>203</v>
      </c>
      <c r="G1822" s="90">
        <v>1</v>
      </c>
      <c r="H1822" s="91"/>
      <c r="I1822" s="92" t="s">
        <v>63</v>
      </c>
      <c r="J1822" s="90">
        <f t="shared" si="333"/>
        <v>0</v>
      </c>
      <c r="K1822" s="90">
        <f t="shared" si="334"/>
        <v>0</v>
      </c>
      <c r="L1822" s="90">
        <f t="shared" si="335"/>
        <v>0</v>
      </c>
      <c r="M1822" s="90">
        <f t="shared" si="336"/>
        <v>0</v>
      </c>
      <c r="N1822" s="90">
        <v>0</v>
      </c>
      <c r="O1822" s="90">
        <f t="shared" si="337"/>
        <v>0</v>
      </c>
      <c r="P1822" s="92" t="s">
        <v>578</v>
      </c>
      <c r="Z1822" s="93">
        <f t="shared" si="338"/>
        <v>0</v>
      </c>
      <c r="AB1822" s="93">
        <f t="shared" si="339"/>
        <v>0</v>
      </c>
      <c r="AC1822" s="93">
        <f t="shared" si="340"/>
        <v>0</v>
      </c>
      <c r="AD1822" s="93">
        <f t="shared" si="341"/>
        <v>0</v>
      </c>
      <c r="AE1822" s="93">
        <f t="shared" si="342"/>
        <v>0</v>
      </c>
      <c r="AF1822" s="93">
        <f t="shared" si="343"/>
        <v>0</v>
      </c>
      <c r="AG1822" s="93">
        <f t="shared" si="344"/>
        <v>0</v>
      </c>
      <c r="AH1822" s="93">
        <f t="shared" si="345"/>
        <v>0</v>
      </c>
      <c r="AI1822" s="88" t="s">
        <v>55</v>
      </c>
      <c r="AJ1822" s="93">
        <f t="shared" si="346"/>
        <v>0</v>
      </c>
      <c r="AK1822" s="93">
        <f t="shared" si="347"/>
        <v>0</v>
      </c>
      <c r="AL1822" s="93">
        <f t="shared" si="348"/>
        <v>0</v>
      </c>
      <c r="AN1822" s="93">
        <v>21</v>
      </c>
      <c r="AO1822" s="93">
        <f>H1822*0.851471601</f>
        <v>0</v>
      </c>
      <c r="AP1822" s="93">
        <f>H1822*(1-0.851471601)</f>
        <v>0</v>
      </c>
      <c r="AQ1822" s="94" t="s">
        <v>148</v>
      </c>
      <c r="AV1822" s="93">
        <f t="shared" si="349"/>
        <v>0</v>
      </c>
      <c r="AW1822" s="93">
        <f t="shared" si="350"/>
        <v>0</v>
      </c>
      <c r="AX1822" s="93">
        <f t="shared" si="351"/>
        <v>0</v>
      </c>
      <c r="AY1822" s="94" t="s">
        <v>2323</v>
      </c>
      <c r="AZ1822" s="94" t="s">
        <v>2247</v>
      </c>
      <c r="BA1822" s="88" t="s">
        <v>67</v>
      </c>
      <c r="BC1822" s="93">
        <f t="shared" si="352"/>
        <v>0</v>
      </c>
      <c r="BD1822" s="93">
        <f t="shared" si="353"/>
        <v>0</v>
      </c>
      <c r="BE1822" s="93">
        <v>0</v>
      </c>
      <c r="BF1822" s="93">
        <f t="shared" si="354"/>
        <v>0</v>
      </c>
      <c r="BH1822" s="93">
        <f t="shared" si="355"/>
        <v>0</v>
      </c>
      <c r="BI1822" s="93">
        <f t="shared" si="356"/>
        <v>0</v>
      </c>
      <c r="BJ1822" s="93">
        <f t="shared" si="357"/>
        <v>0</v>
      </c>
      <c r="BK1822" s="93"/>
      <c r="BL1822" s="93">
        <v>766</v>
      </c>
      <c r="BW1822" s="93" t="str">
        <f t="shared" si="358"/>
        <v>21</v>
      </c>
      <c r="BX1822" s="2" t="s">
        <v>2332</v>
      </c>
    </row>
    <row r="1823" spans="1:76" s="81" customFormat="1" ht="25.5" x14ac:dyDescent="0.25">
      <c r="A1823" s="66" t="s">
        <v>2336</v>
      </c>
      <c r="B1823" s="72" t="s">
        <v>55</v>
      </c>
      <c r="C1823" s="72" t="s">
        <v>2334</v>
      </c>
      <c r="D1823" s="174" t="s">
        <v>2335</v>
      </c>
      <c r="E1823" s="174"/>
      <c r="F1823" s="72" t="s">
        <v>203</v>
      </c>
      <c r="G1823" s="90">
        <v>1</v>
      </c>
      <c r="H1823" s="91"/>
      <c r="I1823" s="92" t="s">
        <v>63</v>
      </c>
      <c r="J1823" s="90">
        <f t="shared" si="333"/>
        <v>0</v>
      </c>
      <c r="K1823" s="90">
        <f t="shared" si="334"/>
        <v>0</v>
      </c>
      <c r="L1823" s="90">
        <f t="shared" si="335"/>
        <v>0</v>
      </c>
      <c r="M1823" s="90">
        <f t="shared" si="336"/>
        <v>0</v>
      </c>
      <c r="N1823" s="90">
        <v>0</v>
      </c>
      <c r="O1823" s="90">
        <f t="shared" si="337"/>
        <v>0</v>
      </c>
      <c r="P1823" s="92" t="s">
        <v>578</v>
      </c>
      <c r="Z1823" s="93">
        <f t="shared" si="338"/>
        <v>0</v>
      </c>
      <c r="AB1823" s="93">
        <f t="shared" si="339"/>
        <v>0</v>
      </c>
      <c r="AC1823" s="93">
        <f t="shared" si="340"/>
        <v>0</v>
      </c>
      <c r="AD1823" s="93">
        <f t="shared" si="341"/>
        <v>0</v>
      </c>
      <c r="AE1823" s="93">
        <f t="shared" si="342"/>
        <v>0</v>
      </c>
      <c r="AF1823" s="93">
        <f t="shared" si="343"/>
        <v>0</v>
      </c>
      <c r="AG1823" s="93">
        <f t="shared" si="344"/>
        <v>0</v>
      </c>
      <c r="AH1823" s="93">
        <f t="shared" si="345"/>
        <v>0</v>
      </c>
      <c r="AI1823" s="88" t="s">
        <v>55</v>
      </c>
      <c r="AJ1823" s="93">
        <f t="shared" si="346"/>
        <v>0</v>
      </c>
      <c r="AK1823" s="93">
        <f t="shared" si="347"/>
        <v>0</v>
      </c>
      <c r="AL1823" s="93">
        <f t="shared" si="348"/>
        <v>0</v>
      </c>
      <c r="AN1823" s="93">
        <v>21</v>
      </c>
      <c r="AO1823" s="93">
        <f>H1823*0.851473015</f>
        <v>0</v>
      </c>
      <c r="AP1823" s="93">
        <f>H1823*(1-0.851473015)</f>
        <v>0</v>
      </c>
      <c r="AQ1823" s="94" t="s">
        <v>148</v>
      </c>
      <c r="AV1823" s="93">
        <f t="shared" si="349"/>
        <v>0</v>
      </c>
      <c r="AW1823" s="93">
        <f t="shared" si="350"/>
        <v>0</v>
      </c>
      <c r="AX1823" s="93">
        <f t="shared" si="351"/>
        <v>0</v>
      </c>
      <c r="AY1823" s="94" t="s">
        <v>2323</v>
      </c>
      <c r="AZ1823" s="94" t="s">
        <v>2247</v>
      </c>
      <c r="BA1823" s="88" t="s">
        <v>67</v>
      </c>
      <c r="BC1823" s="93">
        <f t="shared" si="352"/>
        <v>0</v>
      </c>
      <c r="BD1823" s="93">
        <f t="shared" si="353"/>
        <v>0</v>
      </c>
      <c r="BE1823" s="93">
        <v>0</v>
      </c>
      <c r="BF1823" s="93">
        <f t="shared" si="354"/>
        <v>0</v>
      </c>
      <c r="BH1823" s="93">
        <f t="shared" si="355"/>
        <v>0</v>
      </c>
      <c r="BI1823" s="93">
        <f t="shared" si="356"/>
        <v>0</v>
      </c>
      <c r="BJ1823" s="93">
        <f t="shared" si="357"/>
        <v>0</v>
      </c>
      <c r="BK1823" s="93"/>
      <c r="BL1823" s="93">
        <v>766</v>
      </c>
      <c r="BW1823" s="93" t="str">
        <f t="shared" si="358"/>
        <v>21</v>
      </c>
      <c r="BX1823" s="2" t="s">
        <v>2335</v>
      </c>
    </row>
    <row r="1824" spans="1:76" s="81" customFormat="1" ht="25.5" x14ac:dyDescent="0.25">
      <c r="A1824" s="66" t="s">
        <v>2339</v>
      </c>
      <c r="B1824" s="72" t="s">
        <v>55</v>
      </c>
      <c r="C1824" s="72" t="s">
        <v>2337</v>
      </c>
      <c r="D1824" s="174" t="s">
        <v>2338</v>
      </c>
      <c r="E1824" s="174"/>
      <c r="F1824" s="72" t="s">
        <v>203</v>
      </c>
      <c r="G1824" s="90">
        <v>3</v>
      </c>
      <c r="H1824" s="91"/>
      <c r="I1824" s="92" t="s">
        <v>63</v>
      </c>
      <c r="J1824" s="90">
        <f t="shared" si="333"/>
        <v>0</v>
      </c>
      <c r="K1824" s="90">
        <f t="shared" si="334"/>
        <v>0</v>
      </c>
      <c r="L1824" s="90">
        <f t="shared" si="335"/>
        <v>0</v>
      </c>
      <c r="M1824" s="90">
        <f t="shared" si="336"/>
        <v>0</v>
      </c>
      <c r="N1824" s="90">
        <v>0</v>
      </c>
      <c r="O1824" s="90">
        <f t="shared" si="337"/>
        <v>0</v>
      </c>
      <c r="P1824" s="92" t="s">
        <v>578</v>
      </c>
      <c r="Z1824" s="93">
        <f t="shared" si="338"/>
        <v>0</v>
      </c>
      <c r="AB1824" s="93">
        <f t="shared" si="339"/>
        <v>0</v>
      </c>
      <c r="AC1824" s="93">
        <f t="shared" si="340"/>
        <v>0</v>
      </c>
      <c r="AD1824" s="93">
        <f t="shared" si="341"/>
        <v>0</v>
      </c>
      <c r="AE1824" s="93">
        <f t="shared" si="342"/>
        <v>0</v>
      </c>
      <c r="AF1824" s="93">
        <f t="shared" si="343"/>
        <v>0</v>
      </c>
      <c r="AG1824" s="93">
        <f t="shared" si="344"/>
        <v>0</v>
      </c>
      <c r="AH1824" s="93">
        <f t="shared" si="345"/>
        <v>0</v>
      </c>
      <c r="AI1824" s="88" t="s">
        <v>55</v>
      </c>
      <c r="AJ1824" s="93">
        <f t="shared" si="346"/>
        <v>0</v>
      </c>
      <c r="AK1824" s="93">
        <f t="shared" si="347"/>
        <v>0</v>
      </c>
      <c r="AL1824" s="93">
        <f t="shared" si="348"/>
        <v>0</v>
      </c>
      <c r="AN1824" s="93">
        <v>21</v>
      </c>
      <c r="AO1824" s="93">
        <f>H1824*0.851472911</f>
        <v>0</v>
      </c>
      <c r="AP1824" s="93">
        <f>H1824*(1-0.851472911)</f>
        <v>0</v>
      </c>
      <c r="AQ1824" s="94" t="s">
        <v>148</v>
      </c>
      <c r="AV1824" s="93">
        <f t="shared" si="349"/>
        <v>0</v>
      </c>
      <c r="AW1824" s="93">
        <f t="shared" si="350"/>
        <v>0</v>
      </c>
      <c r="AX1824" s="93">
        <f t="shared" si="351"/>
        <v>0</v>
      </c>
      <c r="AY1824" s="94" t="s">
        <v>2323</v>
      </c>
      <c r="AZ1824" s="94" t="s">
        <v>2247</v>
      </c>
      <c r="BA1824" s="88" t="s">
        <v>67</v>
      </c>
      <c r="BC1824" s="93">
        <f t="shared" si="352"/>
        <v>0</v>
      </c>
      <c r="BD1824" s="93">
        <f t="shared" si="353"/>
        <v>0</v>
      </c>
      <c r="BE1824" s="93">
        <v>0</v>
      </c>
      <c r="BF1824" s="93">
        <f t="shared" si="354"/>
        <v>0</v>
      </c>
      <c r="BH1824" s="93">
        <f t="shared" si="355"/>
        <v>0</v>
      </c>
      <c r="BI1824" s="93">
        <f t="shared" si="356"/>
        <v>0</v>
      </c>
      <c r="BJ1824" s="93">
        <f t="shared" si="357"/>
        <v>0</v>
      </c>
      <c r="BK1824" s="93"/>
      <c r="BL1824" s="93">
        <v>766</v>
      </c>
      <c r="BW1824" s="93" t="str">
        <f t="shared" si="358"/>
        <v>21</v>
      </c>
      <c r="BX1824" s="2" t="s">
        <v>2338</v>
      </c>
    </row>
    <row r="1825" spans="1:76" s="81" customFormat="1" ht="25.5" x14ac:dyDescent="0.25">
      <c r="A1825" s="66" t="s">
        <v>2342</v>
      </c>
      <c r="B1825" s="72" t="s">
        <v>55</v>
      </c>
      <c r="C1825" s="72" t="s">
        <v>2340</v>
      </c>
      <c r="D1825" s="174" t="s">
        <v>2341</v>
      </c>
      <c r="E1825" s="174"/>
      <c r="F1825" s="72" t="s">
        <v>203</v>
      </c>
      <c r="G1825" s="90">
        <v>1</v>
      </c>
      <c r="H1825" s="91"/>
      <c r="I1825" s="92" t="s">
        <v>63</v>
      </c>
      <c r="J1825" s="90">
        <f t="shared" si="333"/>
        <v>0</v>
      </c>
      <c r="K1825" s="90">
        <f t="shared" si="334"/>
        <v>0</v>
      </c>
      <c r="L1825" s="90">
        <f t="shared" si="335"/>
        <v>0</v>
      </c>
      <c r="M1825" s="90">
        <f t="shared" si="336"/>
        <v>0</v>
      </c>
      <c r="N1825" s="90">
        <v>0</v>
      </c>
      <c r="O1825" s="90">
        <f t="shared" si="337"/>
        <v>0</v>
      </c>
      <c r="P1825" s="92" t="s">
        <v>578</v>
      </c>
      <c r="Z1825" s="93">
        <f t="shared" si="338"/>
        <v>0</v>
      </c>
      <c r="AB1825" s="93">
        <f t="shared" si="339"/>
        <v>0</v>
      </c>
      <c r="AC1825" s="93">
        <f t="shared" si="340"/>
        <v>0</v>
      </c>
      <c r="AD1825" s="93">
        <f t="shared" si="341"/>
        <v>0</v>
      </c>
      <c r="AE1825" s="93">
        <f t="shared" si="342"/>
        <v>0</v>
      </c>
      <c r="AF1825" s="93">
        <f t="shared" si="343"/>
        <v>0</v>
      </c>
      <c r="AG1825" s="93">
        <f t="shared" si="344"/>
        <v>0</v>
      </c>
      <c r="AH1825" s="93">
        <f t="shared" si="345"/>
        <v>0</v>
      </c>
      <c r="AI1825" s="88" t="s">
        <v>55</v>
      </c>
      <c r="AJ1825" s="93">
        <f t="shared" si="346"/>
        <v>0</v>
      </c>
      <c r="AK1825" s="93">
        <f t="shared" si="347"/>
        <v>0</v>
      </c>
      <c r="AL1825" s="93">
        <f t="shared" si="348"/>
        <v>0</v>
      </c>
      <c r="AN1825" s="93">
        <v>21</v>
      </c>
      <c r="AO1825" s="93">
        <f>H1825*0.851472443</f>
        <v>0</v>
      </c>
      <c r="AP1825" s="93">
        <f>H1825*(1-0.851472443)</f>
        <v>0</v>
      </c>
      <c r="AQ1825" s="94" t="s">
        <v>148</v>
      </c>
      <c r="AV1825" s="93">
        <f t="shared" si="349"/>
        <v>0</v>
      </c>
      <c r="AW1825" s="93">
        <f t="shared" si="350"/>
        <v>0</v>
      </c>
      <c r="AX1825" s="93">
        <f t="shared" si="351"/>
        <v>0</v>
      </c>
      <c r="AY1825" s="94" t="s">
        <v>2323</v>
      </c>
      <c r="AZ1825" s="94" t="s">
        <v>2247</v>
      </c>
      <c r="BA1825" s="88" t="s">
        <v>67</v>
      </c>
      <c r="BC1825" s="93">
        <f t="shared" si="352"/>
        <v>0</v>
      </c>
      <c r="BD1825" s="93">
        <f t="shared" si="353"/>
        <v>0</v>
      </c>
      <c r="BE1825" s="93">
        <v>0</v>
      </c>
      <c r="BF1825" s="93">
        <f t="shared" si="354"/>
        <v>0</v>
      </c>
      <c r="BH1825" s="93">
        <f t="shared" si="355"/>
        <v>0</v>
      </c>
      <c r="BI1825" s="93">
        <f t="shared" si="356"/>
        <v>0</v>
      </c>
      <c r="BJ1825" s="93">
        <f t="shared" si="357"/>
        <v>0</v>
      </c>
      <c r="BK1825" s="93"/>
      <c r="BL1825" s="93">
        <v>766</v>
      </c>
      <c r="BW1825" s="93" t="str">
        <f t="shared" si="358"/>
        <v>21</v>
      </c>
      <c r="BX1825" s="2" t="s">
        <v>2341</v>
      </c>
    </row>
    <row r="1826" spans="1:76" s="81" customFormat="1" ht="25.5" x14ac:dyDescent="0.25">
      <c r="A1826" s="66" t="s">
        <v>2345</v>
      </c>
      <c r="B1826" s="72" t="s">
        <v>55</v>
      </c>
      <c r="C1826" s="72" t="s">
        <v>2343</v>
      </c>
      <c r="D1826" s="174" t="s">
        <v>2344</v>
      </c>
      <c r="E1826" s="174"/>
      <c r="F1826" s="72" t="s">
        <v>203</v>
      </c>
      <c r="G1826" s="90">
        <v>1</v>
      </c>
      <c r="H1826" s="91"/>
      <c r="I1826" s="92" t="s">
        <v>63</v>
      </c>
      <c r="J1826" s="90">
        <f t="shared" si="333"/>
        <v>0</v>
      </c>
      <c r="K1826" s="90">
        <f t="shared" si="334"/>
        <v>0</v>
      </c>
      <c r="L1826" s="90">
        <f t="shared" si="335"/>
        <v>0</v>
      </c>
      <c r="M1826" s="90">
        <f t="shared" si="336"/>
        <v>0</v>
      </c>
      <c r="N1826" s="90">
        <v>0</v>
      </c>
      <c r="O1826" s="90">
        <f t="shared" si="337"/>
        <v>0</v>
      </c>
      <c r="P1826" s="92" t="s">
        <v>578</v>
      </c>
      <c r="Z1826" s="93">
        <f t="shared" si="338"/>
        <v>0</v>
      </c>
      <c r="AB1826" s="93">
        <f t="shared" si="339"/>
        <v>0</v>
      </c>
      <c r="AC1826" s="93">
        <f t="shared" si="340"/>
        <v>0</v>
      </c>
      <c r="AD1826" s="93">
        <f t="shared" si="341"/>
        <v>0</v>
      </c>
      <c r="AE1826" s="93">
        <f t="shared" si="342"/>
        <v>0</v>
      </c>
      <c r="AF1826" s="93">
        <f t="shared" si="343"/>
        <v>0</v>
      </c>
      <c r="AG1826" s="93">
        <f t="shared" si="344"/>
        <v>0</v>
      </c>
      <c r="AH1826" s="93">
        <f t="shared" si="345"/>
        <v>0</v>
      </c>
      <c r="AI1826" s="88" t="s">
        <v>55</v>
      </c>
      <c r="AJ1826" s="93">
        <f t="shared" si="346"/>
        <v>0</v>
      </c>
      <c r="AK1826" s="93">
        <f t="shared" si="347"/>
        <v>0</v>
      </c>
      <c r="AL1826" s="93">
        <f t="shared" si="348"/>
        <v>0</v>
      </c>
      <c r="AN1826" s="93">
        <v>21</v>
      </c>
      <c r="AO1826" s="93">
        <f>H1826*0.851471917</f>
        <v>0</v>
      </c>
      <c r="AP1826" s="93">
        <f>H1826*(1-0.851471917)</f>
        <v>0</v>
      </c>
      <c r="AQ1826" s="94" t="s">
        <v>148</v>
      </c>
      <c r="AV1826" s="93">
        <f t="shared" si="349"/>
        <v>0</v>
      </c>
      <c r="AW1826" s="93">
        <f t="shared" si="350"/>
        <v>0</v>
      </c>
      <c r="AX1826" s="93">
        <f t="shared" si="351"/>
        <v>0</v>
      </c>
      <c r="AY1826" s="94" t="s">
        <v>2323</v>
      </c>
      <c r="AZ1826" s="94" t="s">
        <v>2247</v>
      </c>
      <c r="BA1826" s="88" t="s">
        <v>67</v>
      </c>
      <c r="BC1826" s="93">
        <f t="shared" si="352"/>
        <v>0</v>
      </c>
      <c r="BD1826" s="93">
        <f t="shared" si="353"/>
        <v>0</v>
      </c>
      <c r="BE1826" s="93">
        <v>0</v>
      </c>
      <c r="BF1826" s="93">
        <f t="shared" si="354"/>
        <v>0</v>
      </c>
      <c r="BH1826" s="93">
        <f t="shared" si="355"/>
        <v>0</v>
      </c>
      <c r="BI1826" s="93">
        <f t="shared" si="356"/>
        <v>0</v>
      </c>
      <c r="BJ1826" s="93">
        <f t="shared" si="357"/>
        <v>0</v>
      </c>
      <c r="BK1826" s="93"/>
      <c r="BL1826" s="93">
        <v>766</v>
      </c>
      <c r="BW1826" s="93" t="str">
        <f t="shared" si="358"/>
        <v>21</v>
      </c>
      <c r="BX1826" s="2" t="s">
        <v>2344</v>
      </c>
    </row>
    <row r="1827" spans="1:76" s="81" customFormat="1" ht="25.5" x14ac:dyDescent="0.25">
      <c r="A1827" s="66" t="s">
        <v>2348</v>
      </c>
      <c r="B1827" s="72" t="s">
        <v>55</v>
      </c>
      <c r="C1827" s="72" t="s">
        <v>2346</v>
      </c>
      <c r="D1827" s="174" t="s">
        <v>2347</v>
      </c>
      <c r="E1827" s="174"/>
      <c r="F1827" s="72" t="s">
        <v>203</v>
      </c>
      <c r="G1827" s="90">
        <v>2</v>
      </c>
      <c r="H1827" s="91"/>
      <c r="I1827" s="92" t="s">
        <v>63</v>
      </c>
      <c r="J1827" s="90">
        <f t="shared" si="333"/>
        <v>0</v>
      </c>
      <c r="K1827" s="90">
        <f t="shared" si="334"/>
        <v>0</v>
      </c>
      <c r="L1827" s="90">
        <f t="shared" si="335"/>
        <v>0</v>
      </c>
      <c r="M1827" s="90">
        <f t="shared" si="336"/>
        <v>0</v>
      </c>
      <c r="N1827" s="90">
        <v>0</v>
      </c>
      <c r="O1827" s="90">
        <f t="shared" si="337"/>
        <v>0</v>
      </c>
      <c r="P1827" s="92" t="s">
        <v>578</v>
      </c>
      <c r="Z1827" s="93">
        <f t="shared" si="338"/>
        <v>0</v>
      </c>
      <c r="AB1827" s="93">
        <f t="shared" si="339"/>
        <v>0</v>
      </c>
      <c r="AC1827" s="93">
        <f t="shared" si="340"/>
        <v>0</v>
      </c>
      <c r="AD1827" s="93">
        <f t="shared" si="341"/>
        <v>0</v>
      </c>
      <c r="AE1827" s="93">
        <f t="shared" si="342"/>
        <v>0</v>
      </c>
      <c r="AF1827" s="93">
        <f t="shared" si="343"/>
        <v>0</v>
      </c>
      <c r="AG1827" s="93">
        <f t="shared" si="344"/>
        <v>0</v>
      </c>
      <c r="AH1827" s="93">
        <f t="shared" si="345"/>
        <v>0</v>
      </c>
      <c r="AI1827" s="88" t="s">
        <v>55</v>
      </c>
      <c r="AJ1827" s="93">
        <f t="shared" si="346"/>
        <v>0</v>
      </c>
      <c r="AK1827" s="93">
        <f t="shared" si="347"/>
        <v>0</v>
      </c>
      <c r="AL1827" s="93">
        <f t="shared" si="348"/>
        <v>0</v>
      </c>
      <c r="AN1827" s="93">
        <v>21</v>
      </c>
      <c r="AO1827" s="93">
        <f>H1827*0.882197417</f>
        <v>0</v>
      </c>
      <c r="AP1827" s="93">
        <f>H1827*(1-0.882197417)</f>
        <v>0</v>
      </c>
      <c r="AQ1827" s="94" t="s">
        <v>148</v>
      </c>
      <c r="AV1827" s="93">
        <f t="shared" si="349"/>
        <v>0</v>
      </c>
      <c r="AW1827" s="93">
        <f t="shared" si="350"/>
        <v>0</v>
      </c>
      <c r="AX1827" s="93">
        <f t="shared" si="351"/>
        <v>0</v>
      </c>
      <c r="AY1827" s="94" t="s">
        <v>2323</v>
      </c>
      <c r="AZ1827" s="94" t="s">
        <v>2247</v>
      </c>
      <c r="BA1827" s="88" t="s">
        <v>67</v>
      </c>
      <c r="BC1827" s="93">
        <f t="shared" si="352"/>
        <v>0</v>
      </c>
      <c r="BD1827" s="93">
        <f t="shared" si="353"/>
        <v>0</v>
      </c>
      <c r="BE1827" s="93">
        <v>0</v>
      </c>
      <c r="BF1827" s="93">
        <f t="shared" si="354"/>
        <v>0</v>
      </c>
      <c r="BH1827" s="93">
        <f t="shared" si="355"/>
        <v>0</v>
      </c>
      <c r="BI1827" s="93">
        <f t="shared" si="356"/>
        <v>0</v>
      </c>
      <c r="BJ1827" s="93">
        <f t="shared" si="357"/>
        <v>0</v>
      </c>
      <c r="BK1827" s="93"/>
      <c r="BL1827" s="93">
        <v>766</v>
      </c>
      <c r="BW1827" s="93" t="str">
        <f t="shared" si="358"/>
        <v>21</v>
      </c>
      <c r="BX1827" s="2" t="s">
        <v>2347</v>
      </c>
    </row>
    <row r="1828" spans="1:76" s="81" customFormat="1" ht="25.5" x14ac:dyDescent="0.25">
      <c r="A1828" s="66" t="s">
        <v>2351</v>
      </c>
      <c r="B1828" s="72" t="s">
        <v>55</v>
      </c>
      <c r="C1828" s="72" t="s">
        <v>2349</v>
      </c>
      <c r="D1828" s="174" t="s">
        <v>2350</v>
      </c>
      <c r="E1828" s="174"/>
      <c r="F1828" s="72" t="s">
        <v>203</v>
      </c>
      <c r="G1828" s="90">
        <v>1</v>
      </c>
      <c r="H1828" s="91"/>
      <c r="I1828" s="92" t="s">
        <v>63</v>
      </c>
      <c r="J1828" s="90">
        <f t="shared" si="333"/>
        <v>0</v>
      </c>
      <c r="K1828" s="90">
        <f t="shared" si="334"/>
        <v>0</v>
      </c>
      <c r="L1828" s="90">
        <f t="shared" si="335"/>
        <v>0</v>
      </c>
      <c r="M1828" s="90">
        <f t="shared" si="336"/>
        <v>0</v>
      </c>
      <c r="N1828" s="90">
        <v>0</v>
      </c>
      <c r="O1828" s="90">
        <f t="shared" si="337"/>
        <v>0</v>
      </c>
      <c r="P1828" s="92" t="s">
        <v>578</v>
      </c>
      <c r="Z1828" s="93">
        <f t="shared" si="338"/>
        <v>0</v>
      </c>
      <c r="AB1828" s="93">
        <f t="shared" si="339"/>
        <v>0</v>
      </c>
      <c r="AC1828" s="93">
        <f t="shared" si="340"/>
        <v>0</v>
      </c>
      <c r="AD1828" s="93">
        <f t="shared" si="341"/>
        <v>0</v>
      </c>
      <c r="AE1828" s="93">
        <f t="shared" si="342"/>
        <v>0</v>
      </c>
      <c r="AF1828" s="93">
        <f t="shared" si="343"/>
        <v>0</v>
      </c>
      <c r="AG1828" s="93">
        <f t="shared" si="344"/>
        <v>0</v>
      </c>
      <c r="AH1828" s="93">
        <f t="shared" si="345"/>
        <v>0</v>
      </c>
      <c r="AI1828" s="88" t="s">
        <v>55</v>
      </c>
      <c r="AJ1828" s="93">
        <f t="shared" si="346"/>
        <v>0</v>
      </c>
      <c r="AK1828" s="93">
        <f t="shared" si="347"/>
        <v>0</v>
      </c>
      <c r="AL1828" s="93">
        <f t="shared" si="348"/>
        <v>0</v>
      </c>
      <c r="AN1828" s="93">
        <v>21</v>
      </c>
      <c r="AO1828" s="93">
        <f>H1828*0.851473176</f>
        <v>0</v>
      </c>
      <c r="AP1828" s="93">
        <f>H1828*(1-0.851473176)</f>
        <v>0</v>
      </c>
      <c r="AQ1828" s="94" t="s">
        <v>148</v>
      </c>
      <c r="AV1828" s="93">
        <f t="shared" si="349"/>
        <v>0</v>
      </c>
      <c r="AW1828" s="93">
        <f t="shared" si="350"/>
        <v>0</v>
      </c>
      <c r="AX1828" s="93">
        <f t="shared" si="351"/>
        <v>0</v>
      </c>
      <c r="AY1828" s="94" t="s">
        <v>2323</v>
      </c>
      <c r="AZ1828" s="94" t="s">
        <v>2247</v>
      </c>
      <c r="BA1828" s="88" t="s">
        <v>67</v>
      </c>
      <c r="BC1828" s="93">
        <f t="shared" si="352"/>
        <v>0</v>
      </c>
      <c r="BD1828" s="93">
        <f t="shared" si="353"/>
        <v>0</v>
      </c>
      <c r="BE1828" s="93">
        <v>0</v>
      </c>
      <c r="BF1828" s="93">
        <f t="shared" si="354"/>
        <v>0</v>
      </c>
      <c r="BH1828" s="93">
        <f t="shared" si="355"/>
        <v>0</v>
      </c>
      <c r="BI1828" s="93">
        <f t="shared" si="356"/>
        <v>0</v>
      </c>
      <c r="BJ1828" s="93">
        <f t="shared" si="357"/>
        <v>0</v>
      </c>
      <c r="BK1828" s="93"/>
      <c r="BL1828" s="93">
        <v>766</v>
      </c>
      <c r="BW1828" s="93" t="str">
        <f t="shared" si="358"/>
        <v>21</v>
      </c>
      <c r="BX1828" s="2" t="s">
        <v>2350</v>
      </c>
    </row>
    <row r="1829" spans="1:76" s="81" customFormat="1" ht="25.5" x14ac:dyDescent="0.25">
      <c r="A1829" s="66" t="s">
        <v>2354</v>
      </c>
      <c r="B1829" s="72" t="s">
        <v>55</v>
      </c>
      <c r="C1829" s="72" t="s">
        <v>2352</v>
      </c>
      <c r="D1829" s="174" t="s">
        <v>2353</v>
      </c>
      <c r="E1829" s="174"/>
      <c r="F1829" s="72" t="s">
        <v>203</v>
      </c>
      <c r="G1829" s="90">
        <v>3</v>
      </c>
      <c r="H1829" s="91"/>
      <c r="I1829" s="92" t="s">
        <v>63</v>
      </c>
      <c r="J1829" s="90">
        <f t="shared" si="333"/>
        <v>0</v>
      </c>
      <c r="K1829" s="90">
        <f t="shared" si="334"/>
        <v>0</v>
      </c>
      <c r="L1829" s="90">
        <f t="shared" si="335"/>
        <v>0</v>
      </c>
      <c r="M1829" s="90">
        <f t="shared" si="336"/>
        <v>0</v>
      </c>
      <c r="N1829" s="90">
        <v>0</v>
      </c>
      <c r="O1829" s="90">
        <f t="shared" si="337"/>
        <v>0</v>
      </c>
      <c r="P1829" s="92" t="s">
        <v>578</v>
      </c>
      <c r="Z1829" s="93">
        <f t="shared" si="338"/>
        <v>0</v>
      </c>
      <c r="AB1829" s="93">
        <f t="shared" si="339"/>
        <v>0</v>
      </c>
      <c r="AC1829" s="93">
        <f t="shared" si="340"/>
        <v>0</v>
      </c>
      <c r="AD1829" s="93">
        <f t="shared" si="341"/>
        <v>0</v>
      </c>
      <c r="AE1829" s="93">
        <f t="shared" si="342"/>
        <v>0</v>
      </c>
      <c r="AF1829" s="93">
        <f t="shared" si="343"/>
        <v>0</v>
      </c>
      <c r="AG1829" s="93">
        <f t="shared" si="344"/>
        <v>0</v>
      </c>
      <c r="AH1829" s="93">
        <f t="shared" si="345"/>
        <v>0</v>
      </c>
      <c r="AI1829" s="88" t="s">
        <v>55</v>
      </c>
      <c r="AJ1829" s="93">
        <f t="shared" si="346"/>
        <v>0</v>
      </c>
      <c r="AK1829" s="93">
        <f t="shared" si="347"/>
        <v>0</v>
      </c>
      <c r="AL1829" s="93">
        <f t="shared" si="348"/>
        <v>0</v>
      </c>
      <c r="AN1829" s="93">
        <v>21</v>
      </c>
      <c r="AO1829" s="93">
        <f>H1829*0.851472231</f>
        <v>0</v>
      </c>
      <c r="AP1829" s="93">
        <f>H1829*(1-0.851472231)</f>
        <v>0</v>
      </c>
      <c r="AQ1829" s="94" t="s">
        <v>148</v>
      </c>
      <c r="AV1829" s="93">
        <f t="shared" si="349"/>
        <v>0</v>
      </c>
      <c r="AW1829" s="93">
        <f t="shared" si="350"/>
        <v>0</v>
      </c>
      <c r="AX1829" s="93">
        <f t="shared" si="351"/>
        <v>0</v>
      </c>
      <c r="AY1829" s="94" t="s">
        <v>2323</v>
      </c>
      <c r="AZ1829" s="94" t="s">
        <v>2247</v>
      </c>
      <c r="BA1829" s="88" t="s">
        <v>67</v>
      </c>
      <c r="BC1829" s="93">
        <f t="shared" si="352"/>
        <v>0</v>
      </c>
      <c r="BD1829" s="93">
        <f t="shared" si="353"/>
        <v>0</v>
      </c>
      <c r="BE1829" s="93">
        <v>0</v>
      </c>
      <c r="BF1829" s="93">
        <f t="shared" si="354"/>
        <v>0</v>
      </c>
      <c r="BH1829" s="93">
        <f t="shared" si="355"/>
        <v>0</v>
      </c>
      <c r="BI1829" s="93">
        <f t="shared" si="356"/>
        <v>0</v>
      </c>
      <c r="BJ1829" s="93">
        <f t="shared" si="357"/>
        <v>0</v>
      </c>
      <c r="BK1829" s="93"/>
      <c r="BL1829" s="93">
        <v>766</v>
      </c>
      <c r="BW1829" s="93" t="str">
        <f t="shared" si="358"/>
        <v>21</v>
      </c>
      <c r="BX1829" s="2" t="s">
        <v>2353</v>
      </c>
    </row>
    <row r="1830" spans="1:76" s="81" customFormat="1" ht="25.5" x14ac:dyDescent="0.25">
      <c r="A1830" s="66" t="s">
        <v>2357</v>
      </c>
      <c r="B1830" s="72" t="s">
        <v>55</v>
      </c>
      <c r="C1830" s="72" t="s">
        <v>2355</v>
      </c>
      <c r="D1830" s="174" t="s">
        <v>2356</v>
      </c>
      <c r="E1830" s="174"/>
      <c r="F1830" s="72" t="s">
        <v>203</v>
      </c>
      <c r="G1830" s="90">
        <v>3</v>
      </c>
      <c r="H1830" s="91"/>
      <c r="I1830" s="92" t="s">
        <v>63</v>
      </c>
      <c r="J1830" s="90">
        <f t="shared" si="333"/>
        <v>0</v>
      </c>
      <c r="K1830" s="90">
        <f t="shared" si="334"/>
        <v>0</v>
      </c>
      <c r="L1830" s="90">
        <f t="shared" si="335"/>
        <v>0</v>
      </c>
      <c r="M1830" s="90">
        <f t="shared" si="336"/>
        <v>0</v>
      </c>
      <c r="N1830" s="90">
        <v>0</v>
      </c>
      <c r="O1830" s="90">
        <f t="shared" si="337"/>
        <v>0</v>
      </c>
      <c r="P1830" s="92" t="s">
        <v>578</v>
      </c>
      <c r="Z1830" s="93">
        <f t="shared" si="338"/>
        <v>0</v>
      </c>
      <c r="AB1830" s="93">
        <f t="shared" si="339"/>
        <v>0</v>
      </c>
      <c r="AC1830" s="93">
        <f t="shared" si="340"/>
        <v>0</v>
      </c>
      <c r="AD1830" s="93">
        <f t="shared" si="341"/>
        <v>0</v>
      </c>
      <c r="AE1830" s="93">
        <f t="shared" si="342"/>
        <v>0</v>
      </c>
      <c r="AF1830" s="93">
        <f t="shared" si="343"/>
        <v>0</v>
      </c>
      <c r="AG1830" s="93">
        <f t="shared" si="344"/>
        <v>0</v>
      </c>
      <c r="AH1830" s="93">
        <f t="shared" si="345"/>
        <v>0</v>
      </c>
      <c r="AI1830" s="88" t="s">
        <v>55</v>
      </c>
      <c r="AJ1830" s="93">
        <f t="shared" si="346"/>
        <v>0</v>
      </c>
      <c r="AK1830" s="93">
        <f t="shared" si="347"/>
        <v>0</v>
      </c>
      <c r="AL1830" s="93">
        <f t="shared" si="348"/>
        <v>0</v>
      </c>
      <c r="AN1830" s="93">
        <v>21</v>
      </c>
      <c r="AO1830" s="93">
        <f>H1830*0.851472231</f>
        <v>0</v>
      </c>
      <c r="AP1830" s="93">
        <f>H1830*(1-0.851472231)</f>
        <v>0</v>
      </c>
      <c r="AQ1830" s="94" t="s">
        <v>148</v>
      </c>
      <c r="AV1830" s="93">
        <f t="shared" si="349"/>
        <v>0</v>
      </c>
      <c r="AW1830" s="93">
        <f t="shared" si="350"/>
        <v>0</v>
      </c>
      <c r="AX1830" s="93">
        <f t="shared" si="351"/>
        <v>0</v>
      </c>
      <c r="AY1830" s="94" t="s">
        <v>2323</v>
      </c>
      <c r="AZ1830" s="94" t="s">
        <v>2247</v>
      </c>
      <c r="BA1830" s="88" t="s">
        <v>67</v>
      </c>
      <c r="BC1830" s="93">
        <f t="shared" si="352"/>
        <v>0</v>
      </c>
      <c r="BD1830" s="93">
        <f t="shared" si="353"/>
        <v>0</v>
      </c>
      <c r="BE1830" s="93">
        <v>0</v>
      </c>
      <c r="BF1830" s="93">
        <f t="shared" si="354"/>
        <v>0</v>
      </c>
      <c r="BH1830" s="93">
        <f t="shared" si="355"/>
        <v>0</v>
      </c>
      <c r="BI1830" s="93">
        <f t="shared" si="356"/>
        <v>0</v>
      </c>
      <c r="BJ1830" s="93">
        <f t="shared" si="357"/>
        <v>0</v>
      </c>
      <c r="BK1830" s="93"/>
      <c r="BL1830" s="93">
        <v>766</v>
      </c>
      <c r="BW1830" s="93" t="str">
        <f t="shared" si="358"/>
        <v>21</v>
      </c>
      <c r="BX1830" s="2" t="s">
        <v>2356</v>
      </c>
    </row>
    <row r="1831" spans="1:76" s="81" customFormat="1" ht="25.5" x14ac:dyDescent="0.25">
      <c r="A1831" s="66" t="s">
        <v>2360</v>
      </c>
      <c r="B1831" s="72" t="s">
        <v>55</v>
      </c>
      <c r="C1831" s="72" t="s">
        <v>2358</v>
      </c>
      <c r="D1831" s="174" t="s">
        <v>2359</v>
      </c>
      <c r="E1831" s="174"/>
      <c r="F1831" s="72" t="s">
        <v>203</v>
      </c>
      <c r="G1831" s="90">
        <v>1</v>
      </c>
      <c r="H1831" s="91"/>
      <c r="I1831" s="92" t="s">
        <v>63</v>
      </c>
      <c r="J1831" s="90">
        <f t="shared" si="333"/>
        <v>0</v>
      </c>
      <c r="K1831" s="90">
        <f t="shared" si="334"/>
        <v>0</v>
      </c>
      <c r="L1831" s="90">
        <f t="shared" si="335"/>
        <v>0</v>
      </c>
      <c r="M1831" s="90">
        <f t="shared" si="336"/>
        <v>0</v>
      </c>
      <c r="N1831" s="90">
        <v>0</v>
      </c>
      <c r="O1831" s="90">
        <f t="shared" si="337"/>
        <v>0</v>
      </c>
      <c r="P1831" s="92" t="s">
        <v>578</v>
      </c>
      <c r="Z1831" s="93">
        <f t="shared" si="338"/>
        <v>0</v>
      </c>
      <c r="AB1831" s="93">
        <f t="shared" si="339"/>
        <v>0</v>
      </c>
      <c r="AC1831" s="93">
        <f t="shared" si="340"/>
        <v>0</v>
      </c>
      <c r="AD1831" s="93">
        <f t="shared" si="341"/>
        <v>0</v>
      </c>
      <c r="AE1831" s="93">
        <f t="shared" si="342"/>
        <v>0</v>
      </c>
      <c r="AF1831" s="93">
        <f t="shared" si="343"/>
        <v>0</v>
      </c>
      <c r="AG1831" s="93">
        <f t="shared" si="344"/>
        <v>0</v>
      </c>
      <c r="AH1831" s="93">
        <f t="shared" si="345"/>
        <v>0</v>
      </c>
      <c r="AI1831" s="88" t="s">
        <v>55</v>
      </c>
      <c r="AJ1831" s="93">
        <f t="shared" si="346"/>
        <v>0</v>
      </c>
      <c r="AK1831" s="93">
        <f t="shared" si="347"/>
        <v>0</v>
      </c>
      <c r="AL1831" s="93">
        <f t="shared" si="348"/>
        <v>0</v>
      </c>
      <c r="AN1831" s="93">
        <v>21</v>
      </c>
      <c r="AO1831" s="93">
        <f>H1831*0.851471645</f>
        <v>0</v>
      </c>
      <c r="AP1831" s="93">
        <f>H1831*(1-0.851471645)</f>
        <v>0</v>
      </c>
      <c r="AQ1831" s="94" t="s">
        <v>148</v>
      </c>
      <c r="AV1831" s="93">
        <f t="shared" si="349"/>
        <v>0</v>
      </c>
      <c r="AW1831" s="93">
        <f t="shared" si="350"/>
        <v>0</v>
      </c>
      <c r="AX1831" s="93">
        <f t="shared" si="351"/>
        <v>0</v>
      </c>
      <c r="AY1831" s="94" t="s">
        <v>2323</v>
      </c>
      <c r="AZ1831" s="94" t="s">
        <v>2247</v>
      </c>
      <c r="BA1831" s="88" t="s">
        <v>67</v>
      </c>
      <c r="BC1831" s="93">
        <f t="shared" si="352"/>
        <v>0</v>
      </c>
      <c r="BD1831" s="93">
        <f t="shared" si="353"/>
        <v>0</v>
      </c>
      <c r="BE1831" s="93">
        <v>0</v>
      </c>
      <c r="BF1831" s="93">
        <f t="shared" si="354"/>
        <v>0</v>
      </c>
      <c r="BH1831" s="93">
        <f t="shared" si="355"/>
        <v>0</v>
      </c>
      <c r="BI1831" s="93">
        <f t="shared" si="356"/>
        <v>0</v>
      </c>
      <c r="BJ1831" s="93">
        <f t="shared" si="357"/>
        <v>0</v>
      </c>
      <c r="BK1831" s="93"/>
      <c r="BL1831" s="93">
        <v>766</v>
      </c>
      <c r="BW1831" s="93" t="str">
        <f t="shared" si="358"/>
        <v>21</v>
      </c>
      <c r="BX1831" s="2" t="s">
        <v>2359</v>
      </c>
    </row>
    <row r="1832" spans="1:76" s="81" customFormat="1" ht="25.5" x14ac:dyDescent="0.25">
      <c r="A1832" s="66" t="s">
        <v>2363</v>
      </c>
      <c r="B1832" s="72" t="s">
        <v>55</v>
      </c>
      <c r="C1832" s="72" t="s">
        <v>2361</v>
      </c>
      <c r="D1832" s="174" t="s">
        <v>2362</v>
      </c>
      <c r="E1832" s="174"/>
      <c r="F1832" s="72" t="s">
        <v>203</v>
      </c>
      <c r="G1832" s="90">
        <v>8</v>
      </c>
      <c r="H1832" s="91"/>
      <c r="I1832" s="92" t="s">
        <v>63</v>
      </c>
      <c r="J1832" s="90">
        <f t="shared" si="333"/>
        <v>0</v>
      </c>
      <c r="K1832" s="90">
        <f t="shared" si="334"/>
        <v>0</v>
      </c>
      <c r="L1832" s="90">
        <f t="shared" si="335"/>
        <v>0</v>
      </c>
      <c r="M1832" s="90">
        <f t="shared" si="336"/>
        <v>0</v>
      </c>
      <c r="N1832" s="90">
        <v>0</v>
      </c>
      <c r="O1832" s="90">
        <f t="shared" si="337"/>
        <v>0</v>
      </c>
      <c r="P1832" s="92" t="s">
        <v>578</v>
      </c>
      <c r="Z1832" s="93">
        <f t="shared" si="338"/>
        <v>0</v>
      </c>
      <c r="AB1832" s="93">
        <f t="shared" si="339"/>
        <v>0</v>
      </c>
      <c r="AC1832" s="93">
        <f t="shared" si="340"/>
        <v>0</v>
      </c>
      <c r="AD1832" s="93">
        <f t="shared" si="341"/>
        <v>0</v>
      </c>
      <c r="AE1832" s="93">
        <f t="shared" si="342"/>
        <v>0</v>
      </c>
      <c r="AF1832" s="93">
        <f t="shared" si="343"/>
        <v>0</v>
      </c>
      <c r="AG1832" s="93">
        <f t="shared" si="344"/>
        <v>0</v>
      </c>
      <c r="AH1832" s="93">
        <f t="shared" si="345"/>
        <v>0</v>
      </c>
      <c r="AI1832" s="88" t="s">
        <v>55</v>
      </c>
      <c r="AJ1832" s="93">
        <f t="shared" si="346"/>
        <v>0</v>
      </c>
      <c r="AK1832" s="93">
        <f t="shared" si="347"/>
        <v>0</v>
      </c>
      <c r="AL1832" s="93">
        <f t="shared" si="348"/>
        <v>0</v>
      </c>
      <c r="AN1832" s="93">
        <v>21</v>
      </c>
      <c r="AO1832" s="93">
        <f>H1832*0.851465184</f>
        <v>0</v>
      </c>
      <c r="AP1832" s="93">
        <f>H1832*(1-0.851465184)</f>
        <v>0</v>
      </c>
      <c r="AQ1832" s="94" t="s">
        <v>148</v>
      </c>
      <c r="AV1832" s="93">
        <f t="shared" si="349"/>
        <v>0</v>
      </c>
      <c r="AW1832" s="93">
        <f t="shared" si="350"/>
        <v>0</v>
      </c>
      <c r="AX1832" s="93">
        <f t="shared" si="351"/>
        <v>0</v>
      </c>
      <c r="AY1832" s="94" t="s">
        <v>2323</v>
      </c>
      <c r="AZ1832" s="94" t="s">
        <v>2247</v>
      </c>
      <c r="BA1832" s="88" t="s">
        <v>67</v>
      </c>
      <c r="BC1832" s="93">
        <f t="shared" si="352"/>
        <v>0</v>
      </c>
      <c r="BD1832" s="93">
        <f t="shared" si="353"/>
        <v>0</v>
      </c>
      <c r="BE1832" s="93">
        <v>0</v>
      </c>
      <c r="BF1832" s="93">
        <f t="shared" si="354"/>
        <v>0</v>
      </c>
      <c r="BH1832" s="93">
        <f t="shared" si="355"/>
        <v>0</v>
      </c>
      <c r="BI1832" s="93">
        <f t="shared" si="356"/>
        <v>0</v>
      </c>
      <c r="BJ1832" s="93">
        <f t="shared" si="357"/>
        <v>0</v>
      </c>
      <c r="BK1832" s="93"/>
      <c r="BL1832" s="93">
        <v>766</v>
      </c>
      <c r="BW1832" s="93" t="str">
        <f t="shared" si="358"/>
        <v>21</v>
      </c>
      <c r="BX1832" s="2" t="s">
        <v>2362</v>
      </c>
    </row>
    <row r="1833" spans="1:76" s="81" customFormat="1" ht="25.5" x14ac:dyDescent="0.25">
      <c r="A1833" s="66" t="s">
        <v>2366</v>
      </c>
      <c r="B1833" s="72" t="s">
        <v>55</v>
      </c>
      <c r="C1833" s="72" t="s">
        <v>2364</v>
      </c>
      <c r="D1833" s="174" t="s">
        <v>2365</v>
      </c>
      <c r="E1833" s="174"/>
      <c r="F1833" s="72" t="s">
        <v>203</v>
      </c>
      <c r="G1833" s="90">
        <v>2</v>
      </c>
      <c r="H1833" s="91"/>
      <c r="I1833" s="92" t="s">
        <v>63</v>
      </c>
      <c r="J1833" s="90">
        <f t="shared" si="333"/>
        <v>0</v>
      </c>
      <c r="K1833" s="90">
        <f t="shared" si="334"/>
        <v>0</v>
      </c>
      <c r="L1833" s="90">
        <f t="shared" si="335"/>
        <v>0</v>
      </c>
      <c r="M1833" s="90">
        <f t="shared" si="336"/>
        <v>0</v>
      </c>
      <c r="N1833" s="90">
        <v>0</v>
      </c>
      <c r="O1833" s="90">
        <f t="shared" si="337"/>
        <v>0</v>
      </c>
      <c r="P1833" s="92" t="s">
        <v>578</v>
      </c>
      <c r="Z1833" s="93">
        <f t="shared" si="338"/>
        <v>0</v>
      </c>
      <c r="AB1833" s="93">
        <f t="shared" si="339"/>
        <v>0</v>
      </c>
      <c r="AC1833" s="93">
        <f t="shared" si="340"/>
        <v>0</v>
      </c>
      <c r="AD1833" s="93">
        <f t="shared" si="341"/>
        <v>0</v>
      </c>
      <c r="AE1833" s="93">
        <f t="shared" si="342"/>
        <v>0</v>
      </c>
      <c r="AF1833" s="93">
        <f t="shared" si="343"/>
        <v>0</v>
      </c>
      <c r="AG1833" s="93">
        <f t="shared" si="344"/>
        <v>0</v>
      </c>
      <c r="AH1833" s="93">
        <f t="shared" si="345"/>
        <v>0</v>
      </c>
      <c r="AI1833" s="88" t="s">
        <v>55</v>
      </c>
      <c r="AJ1833" s="93">
        <f t="shared" si="346"/>
        <v>0</v>
      </c>
      <c r="AK1833" s="93">
        <f t="shared" si="347"/>
        <v>0</v>
      </c>
      <c r="AL1833" s="93">
        <f t="shared" si="348"/>
        <v>0</v>
      </c>
      <c r="AN1833" s="93">
        <v>21</v>
      </c>
      <c r="AO1833" s="93">
        <f>H1833*0.851471212</f>
        <v>0</v>
      </c>
      <c r="AP1833" s="93">
        <f>H1833*(1-0.851471212)</f>
        <v>0</v>
      </c>
      <c r="AQ1833" s="94" t="s">
        <v>148</v>
      </c>
      <c r="AV1833" s="93">
        <f t="shared" si="349"/>
        <v>0</v>
      </c>
      <c r="AW1833" s="93">
        <f t="shared" si="350"/>
        <v>0</v>
      </c>
      <c r="AX1833" s="93">
        <f t="shared" si="351"/>
        <v>0</v>
      </c>
      <c r="AY1833" s="94" t="s">
        <v>2323</v>
      </c>
      <c r="AZ1833" s="94" t="s">
        <v>2247</v>
      </c>
      <c r="BA1833" s="88" t="s">
        <v>67</v>
      </c>
      <c r="BC1833" s="93">
        <f t="shared" si="352"/>
        <v>0</v>
      </c>
      <c r="BD1833" s="93">
        <f t="shared" si="353"/>
        <v>0</v>
      </c>
      <c r="BE1833" s="93">
        <v>0</v>
      </c>
      <c r="BF1833" s="93">
        <f t="shared" si="354"/>
        <v>0</v>
      </c>
      <c r="BH1833" s="93">
        <f t="shared" si="355"/>
        <v>0</v>
      </c>
      <c r="BI1833" s="93">
        <f t="shared" si="356"/>
        <v>0</v>
      </c>
      <c r="BJ1833" s="93">
        <f t="shared" si="357"/>
        <v>0</v>
      </c>
      <c r="BK1833" s="93"/>
      <c r="BL1833" s="93">
        <v>766</v>
      </c>
      <c r="BW1833" s="93" t="str">
        <f t="shared" si="358"/>
        <v>21</v>
      </c>
      <c r="BX1833" s="2" t="s">
        <v>2365</v>
      </c>
    </row>
    <row r="1834" spans="1:76" s="81" customFormat="1" ht="25.5" x14ac:dyDescent="0.25">
      <c r="A1834" s="66" t="s">
        <v>2369</v>
      </c>
      <c r="B1834" s="72" t="s">
        <v>55</v>
      </c>
      <c r="C1834" s="72" t="s">
        <v>2367</v>
      </c>
      <c r="D1834" s="174" t="s">
        <v>2368</v>
      </c>
      <c r="E1834" s="174"/>
      <c r="F1834" s="72" t="s">
        <v>203</v>
      </c>
      <c r="G1834" s="90">
        <v>1</v>
      </c>
      <c r="H1834" s="91"/>
      <c r="I1834" s="92" t="s">
        <v>63</v>
      </c>
      <c r="J1834" s="90">
        <f t="shared" si="333"/>
        <v>0</v>
      </c>
      <c r="K1834" s="90">
        <f t="shared" si="334"/>
        <v>0</v>
      </c>
      <c r="L1834" s="90">
        <f t="shared" si="335"/>
        <v>0</v>
      </c>
      <c r="M1834" s="90">
        <f t="shared" si="336"/>
        <v>0</v>
      </c>
      <c r="N1834" s="90">
        <v>0</v>
      </c>
      <c r="O1834" s="90">
        <f t="shared" si="337"/>
        <v>0</v>
      </c>
      <c r="P1834" s="92" t="s">
        <v>578</v>
      </c>
      <c r="Z1834" s="93">
        <f t="shared" si="338"/>
        <v>0</v>
      </c>
      <c r="AB1834" s="93">
        <f t="shared" si="339"/>
        <v>0</v>
      </c>
      <c r="AC1834" s="93">
        <f t="shared" si="340"/>
        <v>0</v>
      </c>
      <c r="AD1834" s="93">
        <f t="shared" si="341"/>
        <v>0</v>
      </c>
      <c r="AE1834" s="93">
        <f t="shared" si="342"/>
        <v>0</v>
      </c>
      <c r="AF1834" s="93">
        <f t="shared" si="343"/>
        <v>0</v>
      </c>
      <c r="AG1834" s="93">
        <f t="shared" si="344"/>
        <v>0</v>
      </c>
      <c r="AH1834" s="93">
        <f t="shared" si="345"/>
        <v>0</v>
      </c>
      <c r="AI1834" s="88" t="s">
        <v>55</v>
      </c>
      <c r="AJ1834" s="93">
        <f t="shared" si="346"/>
        <v>0</v>
      </c>
      <c r="AK1834" s="93">
        <f t="shared" si="347"/>
        <v>0</v>
      </c>
      <c r="AL1834" s="93">
        <f t="shared" si="348"/>
        <v>0</v>
      </c>
      <c r="AN1834" s="93">
        <v>21</v>
      </c>
      <c r="AO1834" s="93">
        <f>H1834*0.851471212</f>
        <v>0</v>
      </c>
      <c r="AP1834" s="93">
        <f>H1834*(1-0.851471212)</f>
        <v>0</v>
      </c>
      <c r="AQ1834" s="94" t="s">
        <v>148</v>
      </c>
      <c r="AV1834" s="93">
        <f t="shared" si="349"/>
        <v>0</v>
      </c>
      <c r="AW1834" s="93">
        <f t="shared" si="350"/>
        <v>0</v>
      </c>
      <c r="AX1834" s="93">
        <f t="shared" si="351"/>
        <v>0</v>
      </c>
      <c r="AY1834" s="94" t="s">
        <v>2323</v>
      </c>
      <c r="AZ1834" s="94" t="s">
        <v>2247</v>
      </c>
      <c r="BA1834" s="88" t="s">
        <v>67</v>
      </c>
      <c r="BC1834" s="93">
        <f t="shared" si="352"/>
        <v>0</v>
      </c>
      <c r="BD1834" s="93">
        <f t="shared" si="353"/>
        <v>0</v>
      </c>
      <c r="BE1834" s="93">
        <v>0</v>
      </c>
      <c r="BF1834" s="93">
        <f t="shared" si="354"/>
        <v>0</v>
      </c>
      <c r="BH1834" s="93">
        <f t="shared" si="355"/>
        <v>0</v>
      </c>
      <c r="BI1834" s="93">
        <f t="shared" si="356"/>
        <v>0</v>
      </c>
      <c r="BJ1834" s="93">
        <f t="shared" si="357"/>
        <v>0</v>
      </c>
      <c r="BK1834" s="93"/>
      <c r="BL1834" s="93">
        <v>766</v>
      </c>
      <c r="BW1834" s="93" t="str">
        <f t="shared" si="358"/>
        <v>21</v>
      </c>
      <c r="BX1834" s="2" t="s">
        <v>2368</v>
      </c>
    </row>
    <row r="1835" spans="1:76" s="81" customFormat="1" ht="25.5" x14ac:dyDescent="0.25">
      <c r="A1835" s="66" t="s">
        <v>2372</v>
      </c>
      <c r="B1835" s="72" t="s">
        <v>55</v>
      </c>
      <c r="C1835" s="72" t="s">
        <v>2370</v>
      </c>
      <c r="D1835" s="174" t="s">
        <v>2371</v>
      </c>
      <c r="E1835" s="174"/>
      <c r="F1835" s="72" t="s">
        <v>203</v>
      </c>
      <c r="G1835" s="90">
        <v>1</v>
      </c>
      <c r="H1835" s="91"/>
      <c r="I1835" s="92" t="s">
        <v>63</v>
      </c>
      <c r="J1835" s="90">
        <f t="shared" si="333"/>
        <v>0</v>
      </c>
      <c r="K1835" s="90">
        <f t="shared" si="334"/>
        <v>0</v>
      </c>
      <c r="L1835" s="90">
        <f t="shared" si="335"/>
        <v>0</v>
      </c>
      <c r="M1835" s="90">
        <f t="shared" si="336"/>
        <v>0</v>
      </c>
      <c r="N1835" s="90">
        <v>0</v>
      </c>
      <c r="O1835" s="90">
        <f t="shared" si="337"/>
        <v>0</v>
      </c>
      <c r="P1835" s="92" t="s">
        <v>578</v>
      </c>
      <c r="Z1835" s="93">
        <f t="shared" si="338"/>
        <v>0</v>
      </c>
      <c r="AB1835" s="93">
        <f t="shared" si="339"/>
        <v>0</v>
      </c>
      <c r="AC1835" s="93">
        <f t="shared" si="340"/>
        <v>0</v>
      </c>
      <c r="AD1835" s="93">
        <f t="shared" si="341"/>
        <v>0</v>
      </c>
      <c r="AE1835" s="93">
        <f t="shared" si="342"/>
        <v>0</v>
      </c>
      <c r="AF1835" s="93">
        <f t="shared" si="343"/>
        <v>0</v>
      </c>
      <c r="AG1835" s="93">
        <f t="shared" si="344"/>
        <v>0</v>
      </c>
      <c r="AH1835" s="93">
        <f t="shared" si="345"/>
        <v>0</v>
      </c>
      <c r="AI1835" s="88" t="s">
        <v>55</v>
      </c>
      <c r="AJ1835" s="93">
        <f t="shared" si="346"/>
        <v>0</v>
      </c>
      <c r="AK1835" s="93">
        <f t="shared" si="347"/>
        <v>0</v>
      </c>
      <c r="AL1835" s="93">
        <f t="shared" si="348"/>
        <v>0</v>
      </c>
      <c r="AN1835" s="93">
        <v>21</v>
      </c>
      <c r="AO1835" s="93">
        <f>H1835*0.851471615</f>
        <v>0</v>
      </c>
      <c r="AP1835" s="93">
        <f>H1835*(1-0.851471615)</f>
        <v>0</v>
      </c>
      <c r="AQ1835" s="94" t="s">
        <v>148</v>
      </c>
      <c r="AV1835" s="93">
        <f t="shared" si="349"/>
        <v>0</v>
      </c>
      <c r="AW1835" s="93">
        <f t="shared" si="350"/>
        <v>0</v>
      </c>
      <c r="AX1835" s="93">
        <f t="shared" si="351"/>
        <v>0</v>
      </c>
      <c r="AY1835" s="94" t="s">
        <v>2323</v>
      </c>
      <c r="AZ1835" s="94" t="s">
        <v>2247</v>
      </c>
      <c r="BA1835" s="88" t="s">
        <v>67</v>
      </c>
      <c r="BC1835" s="93">
        <f t="shared" si="352"/>
        <v>0</v>
      </c>
      <c r="BD1835" s="93">
        <f t="shared" si="353"/>
        <v>0</v>
      </c>
      <c r="BE1835" s="93">
        <v>0</v>
      </c>
      <c r="BF1835" s="93">
        <f t="shared" si="354"/>
        <v>0</v>
      </c>
      <c r="BH1835" s="93">
        <f t="shared" si="355"/>
        <v>0</v>
      </c>
      <c r="BI1835" s="93">
        <f t="shared" si="356"/>
        <v>0</v>
      </c>
      <c r="BJ1835" s="93">
        <f t="shared" si="357"/>
        <v>0</v>
      </c>
      <c r="BK1835" s="93"/>
      <c r="BL1835" s="93">
        <v>766</v>
      </c>
      <c r="BW1835" s="93" t="str">
        <f t="shared" si="358"/>
        <v>21</v>
      </c>
      <c r="BX1835" s="2" t="s">
        <v>2371</v>
      </c>
    </row>
    <row r="1836" spans="1:76" s="81" customFormat="1" ht="25.5" x14ac:dyDescent="0.25">
      <c r="A1836" s="66" t="s">
        <v>2375</v>
      </c>
      <c r="B1836" s="72" t="s">
        <v>55</v>
      </c>
      <c r="C1836" s="72" t="s">
        <v>2373</v>
      </c>
      <c r="D1836" s="174" t="s">
        <v>2374</v>
      </c>
      <c r="E1836" s="174"/>
      <c r="F1836" s="72" t="s">
        <v>203</v>
      </c>
      <c r="G1836" s="90">
        <v>1</v>
      </c>
      <c r="H1836" s="91"/>
      <c r="I1836" s="92" t="s">
        <v>63</v>
      </c>
      <c r="J1836" s="90">
        <f t="shared" si="333"/>
        <v>0</v>
      </c>
      <c r="K1836" s="90">
        <f t="shared" si="334"/>
        <v>0</v>
      </c>
      <c r="L1836" s="90">
        <f t="shared" si="335"/>
        <v>0</v>
      </c>
      <c r="M1836" s="90">
        <f t="shared" si="336"/>
        <v>0</v>
      </c>
      <c r="N1836" s="90">
        <v>0</v>
      </c>
      <c r="O1836" s="90">
        <f t="shared" si="337"/>
        <v>0</v>
      </c>
      <c r="P1836" s="92" t="s">
        <v>578</v>
      </c>
      <c r="Z1836" s="93">
        <f t="shared" si="338"/>
        <v>0</v>
      </c>
      <c r="AB1836" s="93">
        <f t="shared" si="339"/>
        <v>0</v>
      </c>
      <c r="AC1836" s="93">
        <f t="shared" si="340"/>
        <v>0</v>
      </c>
      <c r="AD1836" s="93">
        <f t="shared" si="341"/>
        <v>0</v>
      </c>
      <c r="AE1836" s="93">
        <f t="shared" si="342"/>
        <v>0</v>
      </c>
      <c r="AF1836" s="93">
        <f t="shared" si="343"/>
        <v>0</v>
      </c>
      <c r="AG1836" s="93">
        <f t="shared" si="344"/>
        <v>0</v>
      </c>
      <c r="AH1836" s="93">
        <f t="shared" si="345"/>
        <v>0</v>
      </c>
      <c r="AI1836" s="88" t="s">
        <v>55</v>
      </c>
      <c r="AJ1836" s="93">
        <f t="shared" si="346"/>
        <v>0</v>
      </c>
      <c r="AK1836" s="93">
        <f t="shared" si="347"/>
        <v>0</v>
      </c>
      <c r="AL1836" s="93">
        <f t="shared" si="348"/>
        <v>0</v>
      </c>
      <c r="AN1836" s="93">
        <v>21</v>
      </c>
      <c r="AO1836" s="93">
        <f>H1836*0.851471628</f>
        <v>0</v>
      </c>
      <c r="AP1836" s="93">
        <f>H1836*(1-0.851471628)</f>
        <v>0</v>
      </c>
      <c r="AQ1836" s="94" t="s">
        <v>148</v>
      </c>
      <c r="AV1836" s="93">
        <f t="shared" si="349"/>
        <v>0</v>
      </c>
      <c r="AW1836" s="93">
        <f t="shared" si="350"/>
        <v>0</v>
      </c>
      <c r="AX1836" s="93">
        <f t="shared" si="351"/>
        <v>0</v>
      </c>
      <c r="AY1836" s="94" t="s">
        <v>2323</v>
      </c>
      <c r="AZ1836" s="94" t="s">
        <v>2247</v>
      </c>
      <c r="BA1836" s="88" t="s">
        <v>67</v>
      </c>
      <c r="BC1836" s="93">
        <f t="shared" si="352"/>
        <v>0</v>
      </c>
      <c r="BD1836" s="93">
        <f t="shared" si="353"/>
        <v>0</v>
      </c>
      <c r="BE1836" s="93">
        <v>0</v>
      </c>
      <c r="BF1836" s="93">
        <f t="shared" si="354"/>
        <v>0</v>
      </c>
      <c r="BH1836" s="93">
        <f t="shared" si="355"/>
        <v>0</v>
      </c>
      <c r="BI1836" s="93">
        <f t="shared" si="356"/>
        <v>0</v>
      </c>
      <c r="BJ1836" s="93">
        <f t="shared" si="357"/>
        <v>0</v>
      </c>
      <c r="BK1836" s="93"/>
      <c r="BL1836" s="93">
        <v>766</v>
      </c>
      <c r="BW1836" s="93" t="str">
        <f t="shared" si="358"/>
        <v>21</v>
      </c>
      <c r="BX1836" s="2" t="s">
        <v>2374</v>
      </c>
    </row>
    <row r="1837" spans="1:76" s="81" customFormat="1" ht="25.5" x14ac:dyDescent="0.25">
      <c r="A1837" s="66" t="s">
        <v>2378</v>
      </c>
      <c r="B1837" s="72" t="s">
        <v>55</v>
      </c>
      <c r="C1837" s="72" t="s">
        <v>2376</v>
      </c>
      <c r="D1837" s="174" t="s">
        <v>2377</v>
      </c>
      <c r="E1837" s="174"/>
      <c r="F1837" s="72" t="s">
        <v>203</v>
      </c>
      <c r="G1837" s="90">
        <v>1</v>
      </c>
      <c r="H1837" s="91"/>
      <c r="I1837" s="92" t="s">
        <v>63</v>
      </c>
      <c r="J1837" s="90">
        <f t="shared" si="333"/>
        <v>0</v>
      </c>
      <c r="K1837" s="90">
        <f t="shared" si="334"/>
        <v>0</v>
      </c>
      <c r="L1837" s="90">
        <f t="shared" si="335"/>
        <v>0</v>
      </c>
      <c r="M1837" s="90">
        <f t="shared" si="336"/>
        <v>0</v>
      </c>
      <c r="N1837" s="90">
        <v>0</v>
      </c>
      <c r="O1837" s="90">
        <f t="shared" si="337"/>
        <v>0</v>
      </c>
      <c r="P1837" s="92" t="s">
        <v>578</v>
      </c>
      <c r="Z1837" s="93">
        <f t="shared" si="338"/>
        <v>0</v>
      </c>
      <c r="AB1837" s="93">
        <f t="shared" si="339"/>
        <v>0</v>
      </c>
      <c r="AC1837" s="93">
        <f t="shared" si="340"/>
        <v>0</v>
      </c>
      <c r="AD1837" s="93">
        <f t="shared" si="341"/>
        <v>0</v>
      </c>
      <c r="AE1837" s="93">
        <f t="shared" si="342"/>
        <v>0</v>
      </c>
      <c r="AF1837" s="93">
        <f t="shared" si="343"/>
        <v>0</v>
      </c>
      <c r="AG1837" s="93">
        <f t="shared" si="344"/>
        <v>0</v>
      </c>
      <c r="AH1837" s="93">
        <f t="shared" si="345"/>
        <v>0</v>
      </c>
      <c r="AI1837" s="88" t="s">
        <v>55</v>
      </c>
      <c r="AJ1837" s="93">
        <f t="shared" si="346"/>
        <v>0</v>
      </c>
      <c r="AK1837" s="93">
        <f t="shared" si="347"/>
        <v>0</v>
      </c>
      <c r="AL1837" s="93">
        <f t="shared" si="348"/>
        <v>0</v>
      </c>
      <c r="AN1837" s="93">
        <v>21</v>
      </c>
      <c r="AO1837" s="93">
        <f>H1837*0.851472403</f>
        <v>0</v>
      </c>
      <c r="AP1837" s="93">
        <f>H1837*(1-0.851472403)</f>
        <v>0</v>
      </c>
      <c r="AQ1837" s="94" t="s">
        <v>148</v>
      </c>
      <c r="AV1837" s="93">
        <f t="shared" si="349"/>
        <v>0</v>
      </c>
      <c r="AW1837" s="93">
        <f t="shared" si="350"/>
        <v>0</v>
      </c>
      <c r="AX1837" s="93">
        <f t="shared" si="351"/>
        <v>0</v>
      </c>
      <c r="AY1837" s="94" t="s">
        <v>2323</v>
      </c>
      <c r="AZ1837" s="94" t="s">
        <v>2247</v>
      </c>
      <c r="BA1837" s="88" t="s">
        <v>67</v>
      </c>
      <c r="BC1837" s="93">
        <f t="shared" si="352"/>
        <v>0</v>
      </c>
      <c r="BD1837" s="93">
        <f t="shared" si="353"/>
        <v>0</v>
      </c>
      <c r="BE1837" s="93">
        <v>0</v>
      </c>
      <c r="BF1837" s="93">
        <f t="shared" si="354"/>
        <v>0</v>
      </c>
      <c r="BH1837" s="93">
        <f t="shared" si="355"/>
        <v>0</v>
      </c>
      <c r="BI1837" s="93">
        <f t="shared" si="356"/>
        <v>0</v>
      </c>
      <c r="BJ1837" s="93">
        <f t="shared" si="357"/>
        <v>0</v>
      </c>
      <c r="BK1837" s="93"/>
      <c r="BL1837" s="93">
        <v>766</v>
      </c>
      <c r="BW1837" s="93" t="str">
        <f t="shared" si="358"/>
        <v>21</v>
      </c>
      <c r="BX1837" s="2" t="s">
        <v>2377</v>
      </c>
    </row>
    <row r="1838" spans="1:76" s="81" customFormat="1" ht="25.5" x14ac:dyDescent="0.25">
      <c r="A1838" s="66" t="s">
        <v>2381</v>
      </c>
      <c r="B1838" s="72" t="s">
        <v>55</v>
      </c>
      <c r="C1838" s="72" t="s">
        <v>2379</v>
      </c>
      <c r="D1838" s="174" t="s">
        <v>2380</v>
      </c>
      <c r="E1838" s="174"/>
      <c r="F1838" s="72" t="s">
        <v>203</v>
      </c>
      <c r="G1838" s="90">
        <v>1</v>
      </c>
      <c r="H1838" s="91"/>
      <c r="I1838" s="92" t="s">
        <v>63</v>
      </c>
      <c r="J1838" s="90">
        <f t="shared" si="333"/>
        <v>0</v>
      </c>
      <c r="K1838" s="90">
        <f t="shared" si="334"/>
        <v>0</v>
      </c>
      <c r="L1838" s="90">
        <f t="shared" si="335"/>
        <v>0</v>
      </c>
      <c r="M1838" s="90">
        <f t="shared" si="336"/>
        <v>0</v>
      </c>
      <c r="N1838" s="90">
        <v>0</v>
      </c>
      <c r="O1838" s="90">
        <f t="shared" si="337"/>
        <v>0</v>
      </c>
      <c r="P1838" s="92" t="s">
        <v>578</v>
      </c>
      <c r="Z1838" s="93">
        <f t="shared" si="338"/>
        <v>0</v>
      </c>
      <c r="AB1838" s="93">
        <f t="shared" si="339"/>
        <v>0</v>
      </c>
      <c r="AC1838" s="93">
        <f t="shared" si="340"/>
        <v>0</v>
      </c>
      <c r="AD1838" s="93">
        <f t="shared" si="341"/>
        <v>0</v>
      </c>
      <c r="AE1838" s="93">
        <f t="shared" si="342"/>
        <v>0</v>
      </c>
      <c r="AF1838" s="93">
        <f t="shared" si="343"/>
        <v>0</v>
      </c>
      <c r="AG1838" s="93">
        <f t="shared" si="344"/>
        <v>0</v>
      </c>
      <c r="AH1838" s="93">
        <f t="shared" si="345"/>
        <v>0</v>
      </c>
      <c r="AI1838" s="88" t="s">
        <v>55</v>
      </c>
      <c r="AJ1838" s="93">
        <f t="shared" si="346"/>
        <v>0</v>
      </c>
      <c r="AK1838" s="93">
        <f t="shared" si="347"/>
        <v>0</v>
      </c>
      <c r="AL1838" s="93">
        <f t="shared" si="348"/>
        <v>0</v>
      </c>
      <c r="AN1838" s="93">
        <v>21</v>
      </c>
      <c r="AO1838" s="93">
        <f>H1838*0.851475096</f>
        <v>0</v>
      </c>
      <c r="AP1838" s="93">
        <f>H1838*(1-0.851475096)</f>
        <v>0</v>
      </c>
      <c r="AQ1838" s="94" t="s">
        <v>148</v>
      </c>
      <c r="AV1838" s="93">
        <f t="shared" si="349"/>
        <v>0</v>
      </c>
      <c r="AW1838" s="93">
        <f t="shared" si="350"/>
        <v>0</v>
      </c>
      <c r="AX1838" s="93">
        <f t="shared" si="351"/>
        <v>0</v>
      </c>
      <c r="AY1838" s="94" t="s">
        <v>2323</v>
      </c>
      <c r="AZ1838" s="94" t="s">
        <v>2247</v>
      </c>
      <c r="BA1838" s="88" t="s">
        <v>67</v>
      </c>
      <c r="BC1838" s="93">
        <f t="shared" si="352"/>
        <v>0</v>
      </c>
      <c r="BD1838" s="93">
        <f t="shared" si="353"/>
        <v>0</v>
      </c>
      <c r="BE1838" s="93">
        <v>0</v>
      </c>
      <c r="BF1838" s="93">
        <f t="shared" si="354"/>
        <v>0</v>
      </c>
      <c r="BH1838" s="93">
        <f t="shared" si="355"/>
        <v>0</v>
      </c>
      <c r="BI1838" s="93">
        <f t="shared" si="356"/>
        <v>0</v>
      </c>
      <c r="BJ1838" s="93">
        <f t="shared" si="357"/>
        <v>0</v>
      </c>
      <c r="BK1838" s="93"/>
      <c r="BL1838" s="93">
        <v>766</v>
      </c>
      <c r="BW1838" s="93" t="str">
        <f t="shared" si="358"/>
        <v>21</v>
      </c>
      <c r="BX1838" s="2" t="s">
        <v>2380</v>
      </c>
    </row>
    <row r="1839" spans="1:76" s="81" customFormat="1" ht="25.5" x14ac:dyDescent="0.25">
      <c r="A1839" s="66" t="s">
        <v>2384</v>
      </c>
      <c r="B1839" s="72" t="s">
        <v>55</v>
      </c>
      <c r="C1839" s="72" t="s">
        <v>2382</v>
      </c>
      <c r="D1839" s="174" t="s">
        <v>2383</v>
      </c>
      <c r="E1839" s="174"/>
      <c r="F1839" s="72" t="s">
        <v>203</v>
      </c>
      <c r="G1839" s="90">
        <v>1</v>
      </c>
      <c r="H1839" s="91"/>
      <c r="I1839" s="92" t="s">
        <v>63</v>
      </c>
      <c r="J1839" s="90">
        <f t="shared" si="333"/>
        <v>0</v>
      </c>
      <c r="K1839" s="90">
        <f t="shared" si="334"/>
        <v>0</v>
      </c>
      <c r="L1839" s="90">
        <f t="shared" si="335"/>
        <v>0</v>
      </c>
      <c r="M1839" s="90">
        <f t="shared" si="336"/>
        <v>0</v>
      </c>
      <c r="N1839" s="90">
        <v>0</v>
      </c>
      <c r="O1839" s="90">
        <f t="shared" si="337"/>
        <v>0</v>
      </c>
      <c r="P1839" s="92" t="s">
        <v>578</v>
      </c>
      <c r="Z1839" s="93">
        <f t="shared" si="338"/>
        <v>0</v>
      </c>
      <c r="AB1839" s="93">
        <f t="shared" si="339"/>
        <v>0</v>
      </c>
      <c r="AC1839" s="93">
        <f t="shared" si="340"/>
        <v>0</v>
      </c>
      <c r="AD1839" s="93">
        <f t="shared" si="341"/>
        <v>0</v>
      </c>
      <c r="AE1839" s="93">
        <f t="shared" si="342"/>
        <v>0</v>
      </c>
      <c r="AF1839" s="93">
        <f t="shared" si="343"/>
        <v>0</v>
      </c>
      <c r="AG1839" s="93">
        <f t="shared" si="344"/>
        <v>0</v>
      </c>
      <c r="AH1839" s="93">
        <f t="shared" si="345"/>
        <v>0</v>
      </c>
      <c r="AI1839" s="88" t="s">
        <v>55</v>
      </c>
      <c r="AJ1839" s="93">
        <f t="shared" si="346"/>
        <v>0</v>
      </c>
      <c r="AK1839" s="93">
        <f t="shared" si="347"/>
        <v>0</v>
      </c>
      <c r="AL1839" s="93">
        <f t="shared" si="348"/>
        <v>0</v>
      </c>
      <c r="AN1839" s="93">
        <v>21</v>
      </c>
      <c r="AO1839" s="93">
        <f>H1839*0.851473584</f>
        <v>0</v>
      </c>
      <c r="AP1839" s="93">
        <f>H1839*(1-0.851473584)</f>
        <v>0</v>
      </c>
      <c r="AQ1839" s="94" t="s">
        <v>148</v>
      </c>
      <c r="AV1839" s="93">
        <f t="shared" si="349"/>
        <v>0</v>
      </c>
      <c r="AW1839" s="93">
        <f t="shared" si="350"/>
        <v>0</v>
      </c>
      <c r="AX1839" s="93">
        <f t="shared" si="351"/>
        <v>0</v>
      </c>
      <c r="AY1839" s="94" t="s">
        <v>2323</v>
      </c>
      <c r="AZ1839" s="94" t="s">
        <v>2247</v>
      </c>
      <c r="BA1839" s="88" t="s">
        <v>67</v>
      </c>
      <c r="BC1839" s="93">
        <f t="shared" si="352"/>
        <v>0</v>
      </c>
      <c r="BD1839" s="93">
        <f t="shared" si="353"/>
        <v>0</v>
      </c>
      <c r="BE1839" s="93">
        <v>0</v>
      </c>
      <c r="BF1839" s="93">
        <f t="shared" si="354"/>
        <v>0</v>
      </c>
      <c r="BH1839" s="93">
        <f t="shared" si="355"/>
        <v>0</v>
      </c>
      <c r="BI1839" s="93">
        <f t="shared" si="356"/>
        <v>0</v>
      </c>
      <c r="BJ1839" s="93">
        <f t="shared" si="357"/>
        <v>0</v>
      </c>
      <c r="BK1839" s="93"/>
      <c r="BL1839" s="93">
        <v>766</v>
      </c>
      <c r="BW1839" s="93" t="str">
        <f t="shared" si="358"/>
        <v>21</v>
      </c>
      <c r="BX1839" s="2" t="s">
        <v>2383</v>
      </c>
    </row>
    <row r="1840" spans="1:76" s="81" customFormat="1" ht="25.5" x14ac:dyDescent="0.25">
      <c r="A1840" s="66" t="s">
        <v>2387</v>
      </c>
      <c r="B1840" s="72" t="s">
        <v>55</v>
      </c>
      <c r="C1840" s="72" t="s">
        <v>2385</v>
      </c>
      <c r="D1840" s="174" t="s">
        <v>2386</v>
      </c>
      <c r="E1840" s="174"/>
      <c r="F1840" s="72" t="s">
        <v>203</v>
      </c>
      <c r="G1840" s="90">
        <v>1</v>
      </c>
      <c r="H1840" s="91"/>
      <c r="I1840" s="92" t="s">
        <v>63</v>
      </c>
      <c r="J1840" s="90">
        <f t="shared" si="333"/>
        <v>0</v>
      </c>
      <c r="K1840" s="90">
        <f t="shared" si="334"/>
        <v>0</v>
      </c>
      <c r="L1840" s="90">
        <f t="shared" si="335"/>
        <v>0</v>
      </c>
      <c r="M1840" s="90">
        <f t="shared" si="336"/>
        <v>0</v>
      </c>
      <c r="N1840" s="90">
        <v>0</v>
      </c>
      <c r="O1840" s="90">
        <f t="shared" si="337"/>
        <v>0</v>
      </c>
      <c r="P1840" s="92" t="s">
        <v>578</v>
      </c>
      <c r="Z1840" s="93">
        <f t="shared" si="338"/>
        <v>0</v>
      </c>
      <c r="AB1840" s="93">
        <f t="shared" si="339"/>
        <v>0</v>
      </c>
      <c r="AC1840" s="93">
        <f t="shared" si="340"/>
        <v>0</v>
      </c>
      <c r="AD1840" s="93">
        <f t="shared" si="341"/>
        <v>0</v>
      </c>
      <c r="AE1840" s="93">
        <f t="shared" si="342"/>
        <v>0</v>
      </c>
      <c r="AF1840" s="93">
        <f t="shared" si="343"/>
        <v>0</v>
      </c>
      <c r="AG1840" s="93">
        <f t="shared" si="344"/>
        <v>0</v>
      </c>
      <c r="AH1840" s="93">
        <f t="shared" si="345"/>
        <v>0</v>
      </c>
      <c r="AI1840" s="88" t="s">
        <v>55</v>
      </c>
      <c r="AJ1840" s="93">
        <f t="shared" si="346"/>
        <v>0</v>
      </c>
      <c r="AK1840" s="93">
        <f t="shared" si="347"/>
        <v>0</v>
      </c>
      <c r="AL1840" s="93">
        <f t="shared" si="348"/>
        <v>0</v>
      </c>
      <c r="AN1840" s="93">
        <v>21</v>
      </c>
      <c r="AO1840" s="93">
        <f>H1840*0.851472126</f>
        <v>0</v>
      </c>
      <c r="AP1840" s="93">
        <f>H1840*(1-0.851472126)</f>
        <v>0</v>
      </c>
      <c r="AQ1840" s="94" t="s">
        <v>148</v>
      </c>
      <c r="AV1840" s="93">
        <f t="shared" si="349"/>
        <v>0</v>
      </c>
      <c r="AW1840" s="93">
        <f t="shared" si="350"/>
        <v>0</v>
      </c>
      <c r="AX1840" s="93">
        <f t="shared" si="351"/>
        <v>0</v>
      </c>
      <c r="AY1840" s="94" t="s">
        <v>2323</v>
      </c>
      <c r="AZ1840" s="94" t="s">
        <v>2247</v>
      </c>
      <c r="BA1840" s="88" t="s">
        <v>67</v>
      </c>
      <c r="BC1840" s="93">
        <f t="shared" si="352"/>
        <v>0</v>
      </c>
      <c r="BD1840" s="93">
        <f t="shared" si="353"/>
        <v>0</v>
      </c>
      <c r="BE1840" s="93">
        <v>0</v>
      </c>
      <c r="BF1840" s="93">
        <f t="shared" si="354"/>
        <v>0</v>
      </c>
      <c r="BH1840" s="93">
        <f t="shared" si="355"/>
        <v>0</v>
      </c>
      <c r="BI1840" s="93">
        <f t="shared" si="356"/>
        <v>0</v>
      </c>
      <c r="BJ1840" s="93">
        <f t="shared" si="357"/>
        <v>0</v>
      </c>
      <c r="BK1840" s="93"/>
      <c r="BL1840" s="93">
        <v>766</v>
      </c>
      <c r="BW1840" s="93" t="str">
        <f t="shared" si="358"/>
        <v>21</v>
      </c>
      <c r="BX1840" s="2" t="s">
        <v>2386</v>
      </c>
    </row>
    <row r="1841" spans="1:76" s="81" customFormat="1" ht="25.5" x14ac:dyDescent="0.25">
      <c r="A1841" s="66" t="s">
        <v>2390</v>
      </c>
      <c r="B1841" s="72" t="s">
        <v>55</v>
      </c>
      <c r="C1841" s="72" t="s">
        <v>2388</v>
      </c>
      <c r="D1841" s="174" t="s">
        <v>2389</v>
      </c>
      <c r="E1841" s="174"/>
      <c r="F1841" s="72" t="s">
        <v>203</v>
      </c>
      <c r="G1841" s="90">
        <v>1</v>
      </c>
      <c r="H1841" s="91"/>
      <c r="I1841" s="92" t="s">
        <v>63</v>
      </c>
      <c r="J1841" s="90">
        <f t="shared" si="333"/>
        <v>0</v>
      </c>
      <c r="K1841" s="90">
        <f t="shared" si="334"/>
        <v>0</v>
      </c>
      <c r="L1841" s="90">
        <f t="shared" si="335"/>
        <v>0</v>
      </c>
      <c r="M1841" s="90">
        <f t="shared" si="336"/>
        <v>0</v>
      </c>
      <c r="N1841" s="90">
        <v>0</v>
      </c>
      <c r="O1841" s="90">
        <f t="shared" si="337"/>
        <v>0</v>
      </c>
      <c r="P1841" s="92" t="s">
        <v>578</v>
      </c>
      <c r="Z1841" s="93">
        <f t="shared" si="338"/>
        <v>0</v>
      </c>
      <c r="AB1841" s="93">
        <f t="shared" si="339"/>
        <v>0</v>
      </c>
      <c r="AC1841" s="93">
        <f t="shared" si="340"/>
        <v>0</v>
      </c>
      <c r="AD1841" s="93">
        <f t="shared" si="341"/>
        <v>0</v>
      </c>
      <c r="AE1841" s="93">
        <f t="shared" si="342"/>
        <v>0</v>
      </c>
      <c r="AF1841" s="93">
        <f t="shared" si="343"/>
        <v>0</v>
      </c>
      <c r="AG1841" s="93">
        <f t="shared" si="344"/>
        <v>0</v>
      </c>
      <c r="AH1841" s="93">
        <f t="shared" si="345"/>
        <v>0</v>
      </c>
      <c r="AI1841" s="88" t="s">
        <v>55</v>
      </c>
      <c r="AJ1841" s="93">
        <f t="shared" si="346"/>
        <v>0</v>
      </c>
      <c r="AK1841" s="93">
        <f t="shared" si="347"/>
        <v>0</v>
      </c>
      <c r="AL1841" s="93">
        <f t="shared" si="348"/>
        <v>0</v>
      </c>
      <c r="AN1841" s="93">
        <v>21</v>
      </c>
      <c r="AO1841" s="93">
        <f>H1841*0.851472544</f>
        <v>0</v>
      </c>
      <c r="AP1841" s="93">
        <f>H1841*(1-0.851472544)</f>
        <v>0</v>
      </c>
      <c r="AQ1841" s="94" t="s">
        <v>148</v>
      </c>
      <c r="AV1841" s="93">
        <f t="shared" si="349"/>
        <v>0</v>
      </c>
      <c r="AW1841" s="93">
        <f t="shared" si="350"/>
        <v>0</v>
      </c>
      <c r="AX1841" s="93">
        <f t="shared" si="351"/>
        <v>0</v>
      </c>
      <c r="AY1841" s="94" t="s">
        <v>2323</v>
      </c>
      <c r="AZ1841" s="94" t="s">
        <v>2247</v>
      </c>
      <c r="BA1841" s="88" t="s">
        <v>67</v>
      </c>
      <c r="BC1841" s="93">
        <f t="shared" si="352"/>
        <v>0</v>
      </c>
      <c r="BD1841" s="93">
        <f t="shared" si="353"/>
        <v>0</v>
      </c>
      <c r="BE1841" s="93">
        <v>0</v>
      </c>
      <c r="BF1841" s="93">
        <f t="shared" si="354"/>
        <v>0</v>
      </c>
      <c r="BH1841" s="93">
        <f t="shared" si="355"/>
        <v>0</v>
      </c>
      <c r="BI1841" s="93">
        <f t="shared" si="356"/>
        <v>0</v>
      </c>
      <c r="BJ1841" s="93">
        <f t="shared" si="357"/>
        <v>0</v>
      </c>
      <c r="BK1841" s="93"/>
      <c r="BL1841" s="93">
        <v>766</v>
      </c>
      <c r="BW1841" s="93" t="str">
        <f t="shared" si="358"/>
        <v>21</v>
      </c>
      <c r="BX1841" s="2" t="s">
        <v>2389</v>
      </c>
    </row>
    <row r="1842" spans="1:76" s="81" customFormat="1" ht="25.5" x14ac:dyDescent="0.25">
      <c r="A1842" s="66" t="s">
        <v>2393</v>
      </c>
      <c r="B1842" s="72" t="s">
        <v>55</v>
      </c>
      <c r="C1842" s="72" t="s">
        <v>2391</v>
      </c>
      <c r="D1842" s="174" t="s">
        <v>2392</v>
      </c>
      <c r="E1842" s="174"/>
      <c r="F1842" s="72" t="s">
        <v>203</v>
      </c>
      <c r="G1842" s="90">
        <v>3</v>
      </c>
      <c r="H1842" s="91"/>
      <c r="I1842" s="92" t="s">
        <v>63</v>
      </c>
      <c r="J1842" s="90">
        <f t="shared" si="333"/>
        <v>0</v>
      </c>
      <c r="K1842" s="90">
        <f t="shared" si="334"/>
        <v>0</v>
      </c>
      <c r="L1842" s="90">
        <f t="shared" si="335"/>
        <v>0</v>
      </c>
      <c r="M1842" s="90">
        <f t="shared" si="336"/>
        <v>0</v>
      </c>
      <c r="N1842" s="90">
        <v>0</v>
      </c>
      <c r="O1842" s="90">
        <f t="shared" si="337"/>
        <v>0</v>
      </c>
      <c r="P1842" s="92" t="s">
        <v>578</v>
      </c>
      <c r="Z1842" s="93">
        <f t="shared" si="338"/>
        <v>0</v>
      </c>
      <c r="AB1842" s="93">
        <f t="shared" si="339"/>
        <v>0</v>
      </c>
      <c r="AC1842" s="93">
        <f t="shared" si="340"/>
        <v>0</v>
      </c>
      <c r="AD1842" s="93">
        <f t="shared" si="341"/>
        <v>0</v>
      </c>
      <c r="AE1842" s="93">
        <f t="shared" si="342"/>
        <v>0</v>
      </c>
      <c r="AF1842" s="93">
        <f t="shared" si="343"/>
        <v>0</v>
      </c>
      <c r="AG1842" s="93">
        <f t="shared" si="344"/>
        <v>0</v>
      </c>
      <c r="AH1842" s="93">
        <f t="shared" si="345"/>
        <v>0</v>
      </c>
      <c r="AI1842" s="88" t="s">
        <v>55</v>
      </c>
      <c r="AJ1842" s="93">
        <f t="shared" si="346"/>
        <v>0</v>
      </c>
      <c r="AK1842" s="93">
        <f t="shared" si="347"/>
        <v>0</v>
      </c>
      <c r="AL1842" s="93">
        <f t="shared" si="348"/>
        <v>0</v>
      </c>
      <c r="AN1842" s="93">
        <v>21</v>
      </c>
      <c r="AO1842" s="93">
        <f>H1842*0.851472311</f>
        <v>0</v>
      </c>
      <c r="AP1842" s="93">
        <f>H1842*(1-0.851472311)</f>
        <v>0</v>
      </c>
      <c r="AQ1842" s="94" t="s">
        <v>148</v>
      </c>
      <c r="AV1842" s="93">
        <f t="shared" si="349"/>
        <v>0</v>
      </c>
      <c r="AW1842" s="93">
        <f t="shared" si="350"/>
        <v>0</v>
      </c>
      <c r="AX1842" s="93">
        <f t="shared" si="351"/>
        <v>0</v>
      </c>
      <c r="AY1842" s="94" t="s">
        <v>2323</v>
      </c>
      <c r="AZ1842" s="94" t="s">
        <v>2247</v>
      </c>
      <c r="BA1842" s="88" t="s">
        <v>67</v>
      </c>
      <c r="BC1842" s="93">
        <f t="shared" si="352"/>
        <v>0</v>
      </c>
      <c r="BD1842" s="93">
        <f t="shared" si="353"/>
        <v>0</v>
      </c>
      <c r="BE1842" s="93">
        <v>0</v>
      </c>
      <c r="BF1842" s="93">
        <f t="shared" si="354"/>
        <v>0</v>
      </c>
      <c r="BH1842" s="93">
        <f t="shared" si="355"/>
        <v>0</v>
      </c>
      <c r="BI1842" s="93">
        <f t="shared" si="356"/>
        <v>0</v>
      </c>
      <c r="BJ1842" s="93">
        <f t="shared" si="357"/>
        <v>0</v>
      </c>
      <c r="BK1842" s="93"/>
      <c r="BL1842" s="93">
        <v>766</v>
      </c>
      <c r="BW1842" s="93" t="str">
        <f t="shared" si="358"/>
        <v>21</v>
      </c>
      <c r="BX1842" s="2" t="s">
        <v>2392</v>
      </c>
    </row>
    <row r="1843" spans="1:76" s="81" customFormat="1" ht="25.5" x14ac:dyDescent="0.25">
      <c r="A1843" s="66" t="s">
        <v>2396</v>
      </c>
      <c r="B1843" s="72" t="s">
        <v>55</v>
      </c>
      <c r="C1843" s="72" t="s">
        <v>2394</v>
      </c>
      <c r="D1843" s="174" t="s">
        <v>2395</v>
      </c>
      <c r="E1843" s="174"/>
      <c r="F1843" s="72" t="s">
        <v>203</v>
      </c>
      <c r="G1843" s="90">
        <v>1</v>
      </c>
      <c r="H1843" s="91"/>
      <c r="I1843" s="92" t="s">
        <v>63</v>
      </c>
      <c r="J1843" s="90">
        <f t="shared" si="333"/>
        <v>0</v>
      </c>
      <c r="K1843" s="90">
        <f t="shared" si="334"/>
        <v>0</v>
      </c>
      <c r="L1843" s="90">
        <f t="shared" si="335"/>
        <v>0</v>
      </c>
      <c r="M1843" s="90">
        <f t="shared" si="336"/>
        <v>0</v>
      </c>
      <c r="N1843" s="90">
        <v>0</v>
      </c>
      <c r="O1843" s="90">
        <f t="shared" si="337"/>
        <v>0</v>
      </c>
      <c r="P1843" s="92" t="s">
        <v>578</v>
      </c>
      <c r="Z1843" s="93">
        <f t="shared" si="338"/>
        <v>0</v>
      </c>
      <c r="AB1843" s="93">
        <f t="shared" si="339"/>
        <v>0</v>
      </c>
      <c r="AC1843" s="93">
        <f t="shared" si="340"/>
        <v>0</v>
      </c>
      <c r="AD1843" s="93">
        <f t="shared" si="341"/>
        <v>0</v>
      </c>
      <c r="AE1843" s="93">
        <f t="shared" si="342"/>
        <v>0</v>
      </c>
      <c r="AF1843" s="93">
        <f t="shared" si="343"/>
        <v>0</v>
      </c>
      <c r="AG1843" s="93">
        <f t="shared" si="344"/>
        <v>0</v>
      </c>
      <c r="AH1843" s="93">
        <f t="shared" si="345"/>
        <v>0</v>
      </c>
      <c r="AI1843" s="88" t="s">
        <v>55</v>
      </c>
      <c r="AJ1843" s="93">
        <f t="shared" si="346"/>
        <v>0</v>
      </c>
      <c r="AK1843" s="93">
        <f t="shared" si="347"/>
        <v>0</v>
      </c>
      <c r="AL1843" s="93">
        <f t="shared" si="348"/>
        <v>0</v>
      </c>
      <c r="AN1843" s="93">
        <v>21</v>
      </c>
      <c r="AO1843" s="93">
        <f>H1843*0.851472418</f>
        <v>0</v>
      </c>
      <c r="AP1843" s="93">
        <f>H1843*(1-0.851472418)</f>
        <v>0</v>
      </c>
      <c r="AQ1843" s="94" t="s">
        <v>148</v>
      </c>
      <c r="AV1843" s="93">
        <f t="shared" si="349"/>
        <v>0</v>
      </c>
      <c r="AW1843" s="93">
        <f t="shared" si="350"/>
        <v>0</v>
      </c>
      <c r="AX1843" s="93">
        <f t="shared" si="351"/>
        <v>0</v>
      </c>
      <c r="AY1843" s="94" t="s">
        <v>2323</v>
      </c>
      <c r="AZ1843" s="94" t="s">
        <v>2247</v>
      </c>
      <c r="BA1843" s="88" t="s">
        <v>67</v>
      </c>
      <c r="BC1843" s="93">
        <f t="shared" si="352"/>
        <v>0</v>
      </c>
      <c r="BD1843" s="93">
        <f t="shared" si="353"/>
        <v>0</v>
      </c>
      <c r="BE1843" s="93">
        <v>0</v>
      </c>
      <c r="BF1843" s="93">
        <f t="shared" si="354"/>
        <v>0</v>
      </c>
      <c r="BH1843" s="93">
        <f t="shared" si="355"/>
        <v>0</v>
      </c>
      <c r="BI1843" s="93">
        <f t="shared" si="356"/>
        <v>0</v>
      </c>
      <c r="BJ1843" s="93">
        <f t="shared" si="357"/>
        <v>0</v>
      </c>
      <c r="BK1843" s="93"/>
      <c r="BL1843" s="93">
        <v>766</v>
      </c>
      <c r="BW1843" s="93" t="str">
        <f t="shared" si="358"/>
        <v>21</v>
      </c>
      <c r="BX1843" s="2" t="s">
        <v>2395</v>
      </c>
    </row>
    <row r="1844" spans="1:76" s="81" customFormat="1" ht="25.5" x14ac:dyDescent="0.25">
      <c r="A1844" s="66" t="s">
        <v>2399</v>
      </c>
      <c r="B1844" s="72" t="s">
        <v>55</v>
      </c>
      <c r="C1844" s="72" t="s">
        <v>2397</v>
      </c>
      <c r="D1844" s="174" t="s">
        <v>2398</v>
      </c>
      <c r="E1844" s="174"/>
      <c r="F1844" s="72" t="s">
        <v>203</v>
      </c>
      <c r="G1844" s="90">
        <v>8</v>
      </c>
      <c r="H1844" s="91"/>
      <c r="I1844" s="92" t="s">
        <v>63</v>
      </c>
      <c r="J1844" s="90">
        <f t="shared" si="333"/>
        <v>0</v>
      </c>
      <c r="K1844" s="90">
        <f t="shared" si="334"/>
        <v>0</v>
      </c>
      <c r="L1844" s="90">
        <f t="shared" si="335"/>
        <v>0</v>
      </c>
      <c r="M1844" s="90">
        <f t="shared" si="336"/>
        <v>0</v>
      </c>
      <c r="N1844" s="90">
        <v>0</v>
      </c>
      <c r="O1844" s="90">
        <f t="shared" si="337"/>
        <v>0</v>
      </c>
      <c r="P1844" s="92" t="s">
        <v>578</v>
      </c>
      <c r="Z1844" s="93">
        <f t="shared" si="338"/>
        <v>0</v>
      </c>
      <c r="AB1844" s="93">
        <f t="shared" si="339"/>
        <v>0</v>
      </c>
      <c r="AC1844" s="93">
        <f t="shared" si="340"/>
        <v>0</v>
      </c>
      <c r="AD1844" s="93">
        <f t="shared" si="341"/>
        <v>0</v>
      </c>
      <c r="AE1844" s="93">
        <f t="shared" si="342"/>
        <v>0</v>
      </c>
      <c r="AF1844" s="93">
        <f t="shared" si="343"/>
        <v>0</v>
      </c>
      <c r="AG1844" s="93">
        <f t="shared" si="344"/>
        <v>0</v>
      </c>
      <c r="AH1844" s="93">
        <f t="shared" si="345"/>
        <v>0</v>
      </c>
      <c r="AI1844" s="88" t="s">
        <v>55</v>
      </c>
      <c r="AJ1844" s="93">
        <f t="shared" si="346"/>
        <v>0</v>
      </c>
      <c r="AK1844" s="93">
        <f t="shared" si="347"/>
        <v>0</v>
      </c>
      <c r="AL1844" s="93">
        <f t="shared" si="348"/>
        <v>0</v>
      </c>
      <c r="AN1844" s="93">
        <v>21</v>
      </c>
      <c r="AO1844" s="93">
        <f>H1844*0.851472389</f>
        <v>0</v>
      </c>
      <c r="AP1844" s="93">
        <f>H1844*(1-0.851472389)</f>
        <v>0</v>
      </c>
      <c r="AQ1844" s="94" t="s">
        <v>148</v>
      </c>
      <c r="AV1844" s="93">
        <f t="shared" si="349"/>
        <v>0</v>
      </c>
      <c r="AW1844" s="93">
        <f t="shared" si="350"/>
        <v>0</v>
      </c>
      <c r="AX1844" s="93">
        <f t="shared" si="351"/>
        <v>0</v>
      </c>
      <c r="AY1844" s="94" t="s">
        <v>2323</v>
      </c>
      <c r="AZ1844" s="94" t="s">
        <v>2247</v>
      </c>
      <c r="BA1844" s="88" t="s">
        <v>67</v>
      </c>
      <c r="BC1844" s="93">
        <f t="shared" si="352"/>
        <v>0</v>
      </c>
      <c r="BD1844" s="93">
        <f t="shared" si="353"/>
        <v>0</v>
      </c>
      <c r="BE1844" s="93">
        <v>0</v>
      </c>
      <c r="BF1844" s="93">
        <f t="shared" si="354"/>
        <v>0</v>
      </c>
      <c r="BH1844" s="93">
        <f t="shared" si="355"/>
        <v>0</v>
      </c>
      <c r="BI1844" s="93">
        <f t="shared" si="356"/>
        <v>0</v>
      </c>
      <c r="BJ1844" s="93">
        <f t="shared" si="357"/>
        <v>0</v>
      </c>
      <c r="BK1844" s="93"/>
      <c r="BL1844" s="93">
        <v>766</v>
      </c>
      <c r="BW1844" s="93" t="str">
        <f t="shared" si="358"/>
        <v>21</v>
      </c>
      <c r="BX1844" s="2" t="s">
        <v>2398</v>
      </c>
    </row>
    <row r="1845" spans="1:76" s="81" customFormat="1" ht="25.5" x14ac:dyDescent="0.25">
      <c r="A1845" s="66" t="s">
        <v>2402</v>
      </c>
      <c r="B1845" s="72" t="s">
        <v>55</v>
      </c>
      <c r="C1845" s="72" t="s">
        <v>2400</v>
      </c>
      <c r="D1845" s="174" t="s">
        <v>2401</v>
      </c>
      <c r="E1845" s="174"/>
      <c r="F1845" s="72" t="s">
        <v>203</v>
      </c>
      <c r="G1845" s="90">
        <v>9</v>
      </c>
      <c r="H1845" s="91"/>
      <c r="I1845" s="92" t="s">
        <v>63</v>
      </c>
      <c r="J1845" s="90">
        <f t="shared" si="333"/>
        <v>0</v>
      </c>
      <c r="K1845" s="90">
        <f t="shared" si="334"/>
        <v>0</v>
      </c>
      <c r="L1845" s="90">
        <f t="shared" si="335"/>
        <v>0</v>
      </c>
      <c r="M1845" s="90">
        <f t="shared" si="336"/>
        <v>0</v>
      </c>
      <c r="N1845" s="90">
        <v>0</v>
      </c>
      <c r="O1845" s="90">
        <f t="shared" si="337"/>
        <v>0</v>
      </c>
      <c r="P1845" s="92" t="s">
        <v>578</v>
      </c>
      <c r="Z1845" s="93">
        <f t="shared" si="338"/>
        <v>0</v>
      </c>
      <c r="AB1845" s="93">
        <f t="shared" si="339"/>
        <v>0</v>
      </c>
      <c r="AC1845" s="93">
        <f t="shared" si="340"/>
        <v>0</v>
      </c>
      <c r="AD1845" s="93">
        <f t="shared" si="341"/>
        <v>0</v>
      </c>
      <c r="AE1845" s="93">
        <f t="shared" si="342"/>
        <v>0</v>
      </c>
      <c r="AF1845" s="93">
        <f t="shared" si="343"/>
        <v>0</v>
      </c>
      <c r="AG1845" s="93">
        <f t="shared" si="344"/>
        <v>0</v>
      </c>
      <c r="AH1845" s="93">
        <f t="shared" si="345"/>
        <v>0</v>
      </c>
      <c r="AI1845" s="88" t="s">
        <v>55</v>
      </c>
      <c r="AJ1845" s="93">
        <f t="shared" si="346"/>
        <v>0</v>
      </c>
      <c r="AK1845" s="93">
        <f t="shared" si="347"/>
        <v>0</v>
      </c>
      <c r="AL1845" s="93">
        <f t="shared" si="348"/>
        <v>0</v>
      </c>
      <c r="AN1845" s="93">
        <v>21</v>
      </c>
      <c r="AO1845" s="93">
        <f>H1845*0.851472389</f>
        <v>0</v>
      </c>
      <c r="AP1845" s="93">
        <f>H1845*(1-0.851472389)</f>
        <v>0</v>
      </c>
      <c r="AQ1845" s="94" t="s">
        <v>148</v>
      </c>
      <c r="AV1845" s="93">
        <f t="shared" si="349"/>
        <v>0</v>
      </c>
      <c r="AW1845" s="93">
        <f t="shared" si="350"/>
        <v>0</v>
      </c>
      <c r="AX1845" s="93">
        <f t="shared" si="351"/>
        <v>0</v>
      </c>
      <c r="AY1845" s="94" t="s">
        <v>2323</v>
      </c>
      <c r="AZ1845" s="94" t="s">
        <v>2247</v>
      </c>
      <c r="BA1845" s="88" t="s">
        <v>67</v>
      </c>
      <c r="BC1845" s="93">
        <f t="shared" si="352"/>
        <v>0</v>
      </c>
      <c r="BD1845" s="93">
        <f t="shared" si="353"/>
        <v>0</v>
      </c>
      <c r="BE1845" s="93">
        <v>0</v>
      </c>
      <c r="BF1845" s="93">
        <f t="shared" si="354"/>
        <v>0</v>
      </c>
      <c r="BH1845" s="93">
        <f t="shared" si="355"/>
        <v>0</v>
      </c>
      <c r="BI1845" s="93">
        <f t="shared" si="356"/>
        <v>0</v>
      </c>
      <c r="BJ1845" s="93">
        <f t="shared" si="357"/>
        <v>0</v>
      </c>
      <c r="BK1845" s="93"/>
      <c r="BL1845" s="93">
        <v>766</v>
      </c>
      <c r="BW1845" s="93" t="str">
        <f t="shared" si="358"/>
        <v>21</v>
      </c>
      <c r="BX1845" s="2" t="s">
        <v>2401</v>
      </c>
    </row>
    <row r="1846" spans="1:76" s="81" customFormat="1" ht="25.5" x14ac:dyDescent="0.25">
      <c r="A1846" s="66" t="s">
        <v>2405</v>
      </c>
      <c r="B1846" s="72" t="s">
        <v>55</v>
      </c>
      <c r="C1846" s="72" t="s">
        <v>2403</v>
      </c>
      <c r="D1846" s="174" t="s">
        <v>2404</v>
      </c>
      <c r="E1846" s="174"/>
      <c r="F1846" s="72" t="s">
        <v>203</v>
      </c>
      <c r="G1846" s="90">
        <v>1</v>
      </c>
      <c r="H1846" s="91"/>
      <c r="I1846" s="92" t="s">
        <v>63</v>
      </c>
      <c r="J1846" s="90">
        <f t="shared" si="333"/>
        <v>0</v>
      </c>
      <c r="K1846" s="90">
        <f t="shared" si="334"/>
        <v>0</v>
      </c>
      <c r="L1846" s="90">
        <f t="shared" si="335"/>
        <v>0</v>
      </c>
      <c r="M1846" s="90">
        <f t="shared" si="336"/>
        <v>0</v>
      </c>
      <c r="N1846" s="90">
        <v>0</v>
      </c>
      <c r="O1846" s="90">
        <f t="shared" si="337"/>
        <v>0</v>
      </c>
      <c r="P1846" s="92" t="s">
        <v>578</v>
      </c>
      <c r="Z1846" s="93">
        <f t="shared" si="338"/>
        <v>0</v>
      </c>
      <c r="AB1846" s="93">
        <f t="shared" si="339"/>
        <v>0</v>
      </c>
      <c r="AC1846" s="93">
        <f t="shared" si="340"/>
        <v>0</v>
      </c>
      <c r="AD1846" s="93">
        <f t="shared" si="341"/>
        <v>0</v>
      </c>
      <c r="AE1846" s="93">
        <f t="shared" si="342"/>
        <v>0</v>
      </c>
      <c r="AF1846" s="93">
        <f t="shared" si="343"/>
        <v>0</v>
      </c>
      <c r="AG1846" s="93">
        <f t="shared" si="344"/>
        <v>0</v>
      </c>
      <c r="AH1846" s="93">
        <f t="shared" si="345"/>
        <v>0</v>
      </c>
      <c r="AI1846" s="88" t="s">
        <v>55</v>
      </c>
      <c r="AJ1846" s="93">
        <f t="shared" si="346"/>
        <v>0</v>
      </c>
      <c r="AK1846" s="93">
        <f t="shared" si="347"/>
        <v>0</v>
      </c>
      <c r="AL1846" s="93">
        <f t="shared" si="348"/>
        <v>0</v>
      </c>
      <c r="AN1846" s="93">
        <v>21</v>
      </c>
      <c r="AO1846" s="93">
        <f>H1846*0.851472389</f>
        <v>0</v>
      </c>
      <c r="AP1846" s="93">
        <f>H1846*(1-0.851472389)</f>
        <v>0</v>
      </c>
      <c r="AQ1846" s="94" t="s">
        <v>148</v>
      </c>
      <c r="AV1846" s="93">
        <f t="shared" si="349"/>
        <v>0</v>
      </c>
      <c r="AW1846" s="93">
        <f t="shared" si="350"/>
        <v>0</v>
      </c>
      <c r="AX1846" s="93">
        <f t="shared" si="351"/>
        <v>0</v>
      </c>
      <c r="AY1846" s="94" t="s">
        <v>2323</v>
      </c>
      <c r="AZ1846" s="94" t="s">
        <v>2247</v>
      </c>
      <c r="BA1846" s="88" t="s">
        <v>67</v>
      </c>
      <c r="BC1846" s="93">
        <f t="shared" si="352"/>
        <v>0</v>
      </c>
      <c r="BD1846" s="93">
        <f t="shared" si="353"/>
        <v>0</v>
      </c>
      <c r="BE1846" s="93">
        <v>0</v>
      </c>
      <c r="BF1846" s="93">
        <f t="shared" si="354"/>
        <v>0</v>
      </c>
      <c r="BH1846" s="93">
        <f t="shared" si="355"/>
        <v>0</v>
      </c>
      <c r="BI1846" s="93">
        <f t="shared" si="356"/>
        <v>0</v>
      </c>
      <c r="BJ1846" s="93">
        <f t="shared" si="357"/>
        <v>0</v>
      </c>
      <c r="BK1846" s="93"/>
      <c r="BL1846" s="93">
        <v>766</v>
      </c>
      <c r="BW1846" s="93" t="str">
        <f t="shared" si="358"/>
        <v>21</v>
      </c>
      <c r="BX1846" s="2" t="s">
        <v>2404</v>
      </c>
    </row>
    <row r="1847" spans="1:76" s="81" customFormat="1" ht="25.5" x14ac:dyDescent="0.25">
      <c r="A1847" s="66" t="s">
        <v>2408</v>
      </c>
      <c r="B1847" s="72" t="s">
        <v>55</v>
      </c>
      <c r="C1847" s="72" t="s">
        <v>2406</v>
      </c>
      <c r="D1847" s="174" t="s">
        <v>2407</v>
      </c>
      <c r="E1847" s="174"/>
      <c r="F1847" s="72" t="s">
        <v>203</v>
      </c>
      <c r="G1847" s="90">
        <v>1</v>
      </c>
      <c r="H1847" s="91"/>
      <c r="I1847" s="92" t="s">
        <v>63</v>
      </c>
      <c r="J1847" s="90">
        <f t="shared" si="333"/>
        <v>0</v>
      </c>
      <c r="K1847" s="90">
        <f t="shared" si="334"/>
        <v>0</v>
      </c>
      <c r="L1847" s="90">
        <f t="shared" si="335"/>
        <v>0</v>
      </c>
      <c r="M1847" s="90">
        <f t="shared" si="336"/>
        <v>0</v>
      </c>
      <c r="N1847" s="90">
        <v>0</v>
      </c>
      <c r="O1847" s="90">
        <f t="shared" si="337"/>
        <v>0</v>
      </c>
      <c r="P1847" s="92" t="s">
        <v>578</v>
      </c>
      <c r="Z1847" s="93">
        <f t="shared" si="338"/>
        <v>0</v>
      </c>
      <c r="AB1847" s="93">
        <f t="shared" si="339"/>
        <v>0</v>
      </c>
      <c r="AC1847" s="93">
        <f t="shared" si="340"/>
        <v>0</v>
      </c>
      <c r="AD1847" s="93">
        <f t="shared" si="341"/>
        <v>0</v>
      </c>
      <c r="AE1847" s="93">
        <f t="shared" si="342"/>
        <v>0</v>
      </c>
      <c r="AF1847" s="93">
        <f t="shared" si="343"/>
        <v>0</v>
      </c>
      <c r="AG1847" s="93">
        <f t="shared" si="344"/>
        <v>0</v>
      </c>
      <c r="AH1847" s="93">
        <f t="shared" si="345"/>
        <v>0</v>
      </c>
      <c r="AI1847" s="88" t="s">
        <v>55</v>
      </c>
      <c r="AJ1847" s="93">
        <f t="shared" si="346"/>
        <v>0</v>
      </c>
      <c r="AK1847" s="93">
        <f t="shared" si="347"/>
        <v>0</v>
      </c>
      <c r="AL1847" s="93">
        <f t="shared" si="348"/>
        <v>0</v>
      </c>
      <c r="AN1847" s="93">
        <v>21</v>
      </c>
      <c r="AO1847" s="93">
        <f>H1847*0.851472653</f>
        <v>0</v>
      </c>
      <c r="AP1847" s="93">
        <f>H1847*(1-0.851472653)</f>
        <v>0</v>
      </c>
      <c r="AQ1847" s="94" t="s">
        <v>148</v>
      </c>
      <c r="AV1847" s="93">
        <f t="shared" si="349"/>
        <v>0</v>
      </c>
      <c r="AW1847" s="93">
        <f t="shared" si="350"/>
        <v>0</v>
      </c>
      <c r="AX1847" s="93">
        <f t="shared" si="351"/>
        <v>0</v>
      </c>
      <c r="AY1847" s="94" t="s">
        <v>2323</v>
      </c>
      <c r="AZ1847" s="94" t="s">
        <v>2247</v>
      </c>
      <c r="BA1847" s="88" t="s">
        <v>67</v>
      </c>
      <c r="BC1847" s="93">
        <f t="shared" si="352"/>
        <v>0</v>
      </c>
      <c r="BD1847" s="93">
        <f t="shared" si="353"/>
        <v>0</v>
      </c>
      <c r="BE1847" s="93">
        <v>0</v>
      </c>
      <c r="BF1847" s="93">
        <f t="shared" si="354"/>
        <v>0</v>
      </c>
      <c r="BH1847" s="93">
        <f t="shared" si="355"/>
        <v>0</v>
      </c>
      <c r="BI1847" s="93">
        <f t="shared" si="356"/>
        <v>0</v>
      </c>
      <c r="BJ1847" s="93">
        <f t="shared" si="357"/>
        <v>0</v>
      </c>
      <c r="BK1847" s="93"/>
      <c r="BL1847" s="93">
        <v>766</v>
      </c>
      <c r="BW1847" s="93" t="str">
        <f t="shared" si="358"/>
        <v>21</v>
      </c>
      <c r="BX1847" s="2" t="s">
        <v>2407</v>
      </c>
    </row>
    <row r="1848" spans="1:76" s="81" customFormat="1" ht="25.5" x14ac:dyDescent="0.25">
      <c r="A1848" s="66" t="s">
        <v>2411</v>
      </c>
      <c r="B1848" s="72" t="s">
        <v>55</v>
      </c>
      <c r="C1848" s="72" t="s">
        <v>2409</v>
      </c>
      <c r="D1848" s="174" t="s">
        <v>2410</v>
      </c>
      <c r="E1848" s="174"/>
      <c r="F1848" s="72" t="s">
        <v>203</v>
      </c>
      <c r="G1848" s="90">
        <v>1</v>
      </c>
      <c r="H1848" s="91"/>
      <c r="I1848" s="92" t="s">
        <v>63</v>
      </c>
      <c r="J1848" s="90">
        <f t="shared" si="333"/>
        <v>0</v>
      </c>
      <c r="K1848" s="90">
        <f t="shared" si="334"/>
        <v>0</v>
      </c>
      <c r="L1848" s="90">
        <f t="shared" si="335"/>
        <v>0</v>
      </c>
      <c r="M1848" s="90">
        <f t="shared" si="336"/>
        <v>0</v>
      </c>
      <c r="N1848" s="90">
        <v>0</v>
      </c>
      <c r="O1848" s="90">
        <f t="shared" si="337"/>
        <v>0</v>
      </c>
      <c r="P1848" s="92" t="s">
        <v>578</v>
      </c>
      <c r="Z1848" s="93">
        <f t="shared" si="338"/>
        <v>0</v>
      </c>
      <c r="AB1848" s="93">
        <f t="shared" si="339"/>
        <v>0</v>
      </c>
      <c r="AC1848" s="93">
        <f t="shared" si="340"/>
        <v>0</v>
      </c>
      <c r="AD1848" s="93">
        <f t="shared" si="341"/>
        <v>0</v>
      </c>
      <c r="AE1848" s="93">
        <f t="shared" si="342"/>
        <v>0</v>
      </c>
      <c r="AF1848" s="93">
        <f t="shared" si="343"/>
        <v>0</v>
      </c>
      <c r="AG1848" s="93">
        <f t="shared" si="344"/>
        <v>0</v>
      </c>
      <c r="AH1848" s="93">
        <f t="shared" si="345"/>
        <v>0</v>
      </c>
      <c r="AI1848" s="88" t="s">
        <v>55</v>
      </c>
      <c r="AJ1848" s="93">
        <f t="shared" si="346"/>
        <v>0</v>
      </c>
      <c r="AK1848" s="93">
        <f t="shared" si="347"/>
        <v>0</v>
      </c>
      <c r="AL1848" s="93">
        <f t="shared" si="348"/>
        <v>0</v>
      </c>
      <c r="AN1848" s="93">
        <v>21</v>
      </c>
      <c r="AO1848" s="93">
        <f>H1848*0.851472395</f>
        <v>0</v>
      </c>
      <c r="AP1848" s="93">
        <f>H1848*(1-0.851472395)</f>
        <v>0</v>
      </c>
      <c r="AQ1848" s="94" t="s">
        <v>148</v>
      </c>
      <c r="AV1848" s="93">
        <f t="shared" si="349"/>
        <v>0</v>
      </c>
      <c r="AW1848" s="93">
        <f t="shared" si="350"/>
        <v>0</v>
      </c>
      <c r="AX1848" s="93">
        <f t="shared" si="351"/>
        <v>0</v>
      </c>
      <c r="AY1848" s="94" t="s">
        <v>2323</v>
      </c>
      <c r="AZ1848" s="94" t="s">
        <v>2247</v>
      </c>
      <c r="BA1848" s="88" t="s">
        <v>67</v>
      </c>
      <c r="BC1848" s="93">
        <f t="shared" si="352"/>
        <v>0</v>
      </c>
      <c r="BD1848" s="93">
        <f t="shared" si="353"/>
        <v>0</v>
      </c>
      <c r="BE1848" s="93">
        <v>0</v>
      </c>
      <c r="BF1848" s="93">
        <f t="shared" si="354"/>
        <v>0</v>
      </c>
      <c r="BH1848" s="93">
        <f t="shared" si="355"/>
        <v>0</v>
      </c>
      <c r="BI1848" s="93">
        <f t="shared" si="356"/>
        <v>0</v>
      </c>
      <c r="BJ1848" s="93">
        <f t="shared" si="357"/>
        <v>0</v>
      </c>
      <c r="BK1848" s="93"/>
      <c r="BL1848" s="93">
        <v>766</v>
      </c>
      <c r="BW1848" s="93" t="str">
        <f t="shared" si="358"/>
        <v>21</v>
      </c>
      <c r="BX1848" s="2" t="s">
        <v>2410</v>
      </c>
    </row>
    <row r="1849" spans="1:76" s="81" customFormat="1" ht="25.5" x14ac:dyDescent="0.25">
      <c r="A1849" s="66" t="s">
        <v>2414</v>
      </c>
      <c r="B1849" s="72" t="s">
        <v>55</v>
      </c>
      <c r="C1849" s="72" t="s">
        <v>2412</v>
      </c>
      <c r="D1849" s="174" t="s">
        <v>2413</v>
      </c>
      <c r="E1849" s="174"/>
      <c r="F1849" s="72" t="s">
        <v>203</v>
      </c>
      <c r="G1849" s="90">
        <v>1</v>
      </c>
      <c r="H1849" s="91"/>
      <c r="I1849" s="92" t="s">
        <v>63</v>
      </c>
      <c r="J1849" s="90">
        <f t="shared" si="333"/>
        <v>0</v>
      </c>
      <c r="K1849" s="90">
        <f t="shared" si="334"/>
        <v>0</v>
      </c>
      <c r="L1849" s="90">
        <f t="shared" si="335"/>
        <v>0</v>
      </c>
      <c r="M1849" s="90">
        <f t="shared" si="336"/>
        <v>0</v>
      </c>
      <c r="N1849" s="90">
        <v>0</v>
      </c>
      <c r="O1849" s="90">
        <f t="shared" si="337"/>
        <v>0</v>
      </c>
      <c r="P1849" s="92" t="s">
        <v>578</v>
      </c>
      <c r="Z1849" s="93">
        <f t="shared" si="338"/>
        <v>0</v>
      </c>
      <c r="AB1849" s="93">
        <f t="shared" si="339"/>
        <v>0</v>
      </c>
      <c r="AC1849" s="93">
        <f t="shared" si="340"/>
        <v>0</v>
      </c>
      <c r="AD1849" s="93">
        <f t="shared" si="341"/>
        <v>0</v>
      </c>
      <c r="AE1849" s="93">
        <f t="shared" si="342"/>
        <v>0</v>
      </c>
      <c r="AF1849" s="93">
        <f t="shared" si="343"/>
        <v>0</v>
      </c>
      <c r="AG1849" s="93">
        <f t="shared" si="344"/>
        <v>0</v>
      </c>
      <c r="AH1849" s="93">
        <f t="shared" si="345"/>
        <v>0</v>
      </c>
      <c r="AI1849" s="88" t="s">
        <v>55</v>
      </c>
      <c r="AJ1849" s="93">
        <f t="shared" si="346"/>
        <v>0</v>
      </c>
      <c r="AK1849" s="93">
        <f t="shared" si="347"/>
        <v>0</v>
      </c>
      <c r="AL1849" s="93">
        <f t="shared" si="348"/>
        <v>0</v>
      </c>
      <c r="AN1849" s="93">
        <v>21</v>
      </c>
      <c r="AO1849" s="93">
        <f>H1849*0.851471739</f>
        <v>0</v>
      </c>
      <c r="AP1849" s="93">
        <f>H1849*(1-0.851471739)</f>
        <v>0</v>
      </c>
      <c r="AQ1849" s="94" t="s">
        <v>148</v>
      </c>
      <c r="AV1849" s="93">
        <f t="shared" si="349"/>
        <v>0</v>
      </c>
      <c r="AW1849" s="93">
        <f t="shared" si="350"/>
        <v>0</v>
      </c>
      <c r="AX1849" s="93">
        <f t="shared" si="351"/>
        <v>0</v>
      </c>
      <c r="AY1849" s="94" t="s">
        <v>2323</v>
      </c>
      <c r="AZ1849" s="94" t="s">
        <v>2247</v>
      </c>
      <c r="BA1849" s="88" t="s">
        <v>67</v>
      </c>
      <c r="BC1849" s="93">
        <f t="shared" si="352"/>
        <v>0</v>
      </c>
      <c r="BD1849" s="93">
        <f t="shared" si="353"/>
        <v>0</v>
      </c>
      <c r="BE1849" s="93">
        <v>0</v>
      </c>
      <c r="BF1849" s="93">
        <f t="shared" si="354"/>
        <v>0</v>
      </c>
      <c r="BH1849" s="93">
        <f t="shared" si="355"/>
        <v>0</v>
      </c>
      <c r="BI1849" s="93">
        <f t="shared" si="356"/>
        <v>0</v>
      </c>
      <c r="BJ1849" s="93">
        <f t="shared" si="357"/>
        <v>0</v>
      </c>
      <c r="BK1849" s="93"/>
      <c r="BL1849" s="93">
        <v>766</v>
      </c>
      <c r="BW1849" s="93" t="str">
        <f t="shared" si="358"/>
        <v>21</v>
      </c>
      <c r="BX1849" s="2" t="s">
        <v>2413</v>
      </c>
    </row>
    <row r="1850" spans="1:76" s="81" customFormat="1" ht="25.5" x14ac:dyDescent="0.25">
      <c r="A1850" s="66" t="s">
        <v>2417</v>
      </c>
      <c r="B1850" s="72" t="s">
        <v>55</v>
      </c>
      <c r="C1850" s="72" t="s">
        <v>2415</v>
      </c>
      <c r="D1850" s="174" t="s">
        <v>2416</v>
      </c>
      <c r="E1850" s="174"/>
      <c r="F1850" s="72" t="s">
        <v>203</v>
      </c>
      <c r="G1850" s="90">
        <v>1</v>
      </c>
      <c r="H1850" s="91"/>
      <c r="I1850" s="92" t="s">
        <v>63</v>
      </c>
      <c r="J1850" s="90">
        <f t="shared" si="333"/>
        <v>0</v>
      </c>
      <c r="K1850" s="90">
        <f t="shared" si="334"/>
        <v>0</v>
      </c>
      <c r="L1850" s="90">
        <f t="shared" si="335"/>
        <v>0</v>
      </c>
      <c r="M1850" s="90">
        <f t="shared" si="336"/>
        <v>0</v>
      </c>
      <c r="N1850" s="90">
        <v>0</v>
      </c>
      <c r="O1850" s="90">
        <f t="shared" si="337"/>
        <v>0</v>
      </c>
      <c r="P1850" s="92" t="s">
        <v>578</v>
      </c>
      <c r="Z1850" s="93">
        <f t="shared" si="338"/>
        <v>0</v>
      </c>
      <c r="AB1850" s="93">
        <f t="shared" si="339"/>
        <v>0</v>
      </c>
      <c r="AC1850" s="93">
        <f t="shared" si="340"/>
        <v>0</v>
      </c>
      <c r="AD1850" s="93">
        <f t="shared" si="341"/>
        <v>0</v>
      </c>
      <c r="AE1850" s="93">
        <f t="shared" si="342"/>
        <v>0</v>
      </c>
      <c r="AF1850" s="93">
        <f t="shared" si="343"/>
        <v>0</v>
      </c>
      <c r="AG1850" s="93">
        <f t="shared" si="344"/>
        <v>0</v>
      </c>
      <c r="AH1850" s="93">
        <f t="shared" si="345"/>
        <v>0</v>
      </c>
      <c r="AI1850" s="88" t="s">
        <v>55</v>
      </c>
      <c r="AJ1850" s="93">
        <f t="shared" si="346"/>
        <v>0</v>
      </c>
      <c r="AK1850" s="93">
        <f t="shared" si="347"/>
        <v>0</v>
      </c>
      <c r="AL1850" s="93">
        <f t="shared" si="348"/>
        <v>0</v>
      </c>
      <c r="AN1850" s="93">
        <v>21</v>
      </c>
      <c r="AO1850" s="93">
        <f>H1850*0.851472315</f>
        <v>0</v>
      </c>
      <c r="AP1850" s="93">
        <f>H1850*(1-0.851472315)</f>
        <v>0</v>
      </c>
      <c r="AQ1850" s="94" t="s">
        <v>148</v>
      </c>
      <c r="AV1850" s="93">
        <f t="shared" si="349"/>
        <v>0</v>
      </c>
      <c r="AW1850" s="93">
        <f t="shared" si="350"/>
        <v>0</v>
      </c>
      <c r="AX1850" s="93">
        <f t="shared" si="351"/>
        <v>0</v>
      </c>
      <c r="AY1850" s="94" t="s">
        <v>2323</v>
      </c>
      <c r="AZ1850" s="94" t="s">
        <v>2247</v>
      </c>
      <c r="BA1850" s="88" t="s">
        <v>67</v>
      </c>
      <c r="BC1850" s="93">
        <f t="shared" si="352"/>
        <v>0</v>
      </c>
      <c r="BD1850" s="93">
        <f t="shared" si="353"/>
        <v>0</v>
      </c>
      <c r="BE1850" s="93">
        <v>0</v>
      </c>
      <c r="BF1850" s="93">
        <f t="shared" si="354"/>
        <v>0</v>
      </c>
      <c r="BH1850" s="93">
        <f t="shared" si="355"/>
        <v>0</v>
      </c>
      <c r="BI1850" s="93">
        <f t="shared" si="356"/>
        <v>0</v>
      </c>
      <c r="BJ1850" s="93">
        <f t="shared" si="357"/>
        <v>0</v>
      </c>
      <c r="BK1850" s="93"/>
      <c r="BL1850" s="93">
        <v>766</v>
      </c>
      <c r="BW1850" s="93" t="str">
        <f t="shared" si="358"/>
        <v>21</v>
      </c>
      <c r="BX1850" s="2" t="s">
        <v>2416</v>
      </c>
    </row>
    <row r="1851" spans="1:76" s="81" customFormat="1" ht="25.5" x14ac:dyDescent="0.25">
      <c r="A1851" s="66" t="s">
        <v>2420</v>
      </c>
      <c r="B1851" s="72" t="s">
        <v>55</v>
      </c>
      <c r="C1851" s="72" t="s">
        <v>2418</v>
      </c>
      <c r="D1851" s="174" t="s">
        <v>2419</v>
      </c>
      <c r="E1851" s="174"/>
      <c r="F1851" s="72" t="s">
        <v>203</v>
      </c>
      <c r="G1851" s="90">
        <v>1</v>
      </c>
      <c r="H1851" s="91"/>
      <c r="I1851" s="92" t="s">
        <v>63</v>
      </c>
      <c r="J1851" s="90">
        <f t="shared" si="333"/>
        <v>0</v>
      </c>
      <c r="K1851" s="90">
        <f t="shared" si="334"/>
        <v>0</v>
      </c>
      <c r="L1851" s="90">
        <f t="shared" si="335"/>
        <v>0</v>
      </c>
      <c r="M1851" s="90">
        <f t="shared" si="336"/>
        <v>0</v>
      </c>
      <c r="N1851" s="90">
        <v>0</v>
      </c>
      <c r="O1851" s="90">
        <f t="shared" si="337"/>
        <v>0</v>
      </c>
      <c r="P1851" s="92" t="s">
        <v>578</v>
      </c>
      <c r="Z1851" s="93">
        <f t="shared" si="338"/>
        <v>0</v>
      </c>
      <c r="AB1851" s="93">
        <f t="shared" si="339"/>
        <v>0</v>
      </c>
      <c r="AC1851" s="93">
        <f t="shared" si="340"/>
        <v>0</v>
      </c>
      <c r="AD1851" s="93">
        <f t="shared" si="341"/>
        <v>0</v>
      </c>
      <c r="AE1851" s="93">
        <f t="shared" si="342"/>
        <v>0</v>
      </c>
      <c r="AF1851" s="93">
        <f t="shared" si="343"/>
        <v>0</v>
      </c>
      <c r="AG1851" s="93">
        <f t="shared" si="344"/>
        <v>0</v>
      </c>
      <c r="AH1851" s="93">
        <f t="shared" si="345"/>
        <v>0</v>
      </c>
      <c r="AI1851" s="88" t="s">
        <v>55</v>
      </c>
      <c r="AJ1851" s="93">
        <f t="shared" si="346"/>
        <v>0</v>
      </c>
      <c r="AK1851" s="93">
        <f t="shared" si="347"/>
        <v>0</v>
      </c>
      <c r="AL1851" s="93">
        <f t="shared" si="348"/>
        <v>0</v>
      </c>
      <c r="AN1851" s="93">
        <v>21</v>
      </c>
      <c r="AO1851" s="93">
        <f>H1851*0.851472748</f>
        <v>0</v>
      </c>
      <c r="AP1851" s="93">
        <f>H1851*(1-0.851472748)</f>
        <v>0</v>
      </c>
      <c r="AQ1851" s="94" t="s">
        <v>148</v>
      </c>
      <c r="AV1851" s="93">
        <f t="shared" si="349"/>
        <v>0</v>
      </c>
      <c r="AW1851" s="93">
        <f t="shared" si="350"/>
        <v>0</v>
      </c>
      <c r="AX1851" s="93">
        <f t="shared" si="351"/>
        <v>0</v>
      </c>
      <c r="AY1851" s="94" t="s">
        <v>2323</v>
      </c>
      <c r="AZ1851" s="94" t="s">
        <v>2247</v>
      </c>
      <c r="BA1851" s="88" t="s">
        <v>67</v>
      </c>
      <c r="BC1851" s="93">
        <f t="shared" si="352"/>
        <v>0</v>
      </c>
      <c r="BD1851" s="93">
        <f t="shared" si="353"/>
        <v>0</v>
      </c>
      <c r="BE1851" s="93">
        <v>0</v>
      </c>
      <c r="BF1851" s="93">
        <f t="shared" si="354"/>
        <v>0</v>
      </c>
      <c r="BH1851" s="93">
        <f t="shared" si="355"/>
        <v>0</v>
      </c>
      <c r="BI1851" s="93">
        <f t="shared" si="356"/>
        <v>0</v>
      </c>
      <c r="BJ1851" s="93">
        <f t="shared" si="357"/>
        <v>0</v>
      </c>
      <c r="BK1851" s="93"/>
      <c r="BL1851" s="93">
        <v>766</v>
      </c>
      <c r="BW1851" s="93" t="str">
        <f t="shared" si="358"/>
        <v>21</v>
      </c>
      <c r="BX1851" s="2" t="s">
        <v>2419</v>
      </c>
    </row>
    <row r="1852" spans="1:76" s="81" customFormat="1" ht="25.5" x14ac:dyDescent="0.25">
      <c r="A1852" s="66" t="s">
        <v>2423</v>
      </c>
      <c r="B1852" s="72" t="s">
        <v>55</v>
      </c>
      <c r="C1852" s="72" t="s">
        <v>2421</v>
      </c>
      <c r="D1852" s="174" t="s">
        <v>2422</v>
      </c>
      <c r="E1852" s="174"/>
      <c r="F1852" s="72" t="s">
        <v>203</v>
      </c>
      <c r="G1852" s="90">
        <v>1</v>
      </c>
      <c r="H1852" s="91"/>
      <c r="I1852" s="92" t="s">
        <v>63</v>
      </c>
      <c r="J1852" s="90">
        <f t="shared" si="333"/>
        <v>0</v>
      </c>
      <c r="K1852" s="90">
        <f t="shared" si="334"/>
        <v>0</v>
      </c>
      <c r="L1852" s="90">
        <f t="shared" si="335"/>
        <v>0</v>
      </c>
      <c r="M1852" s="90">
        <f t="shared" si="336"/>
        <v>0</v>
      </c>
      <c r="N1852" s="90">
        <v>0</v>
      </c>
      <c r="O1852" s="90">
        <f t="shared" si="337"/>
        <v>0</v>
      </c>
      <c r="P1852" s="92" t="s">
        <v>578</v>
      </c>
      <c r="Z1852" s="93">
        <f t="shared" si="338"/>
        <v>0</v>
      </c>
      <c r="AB1852" s="93">
        <f t="shared" si="339"/>
        <v>0</v>
      </c>
      <c r="AC1852" s="93">
        <f t="shared" si="340"/>
        <v>0</v>
      </c>
      <c r="AD1852" s="93">
        <f t="shared" si="341"/>
        <v>0</v>
      </c>
      <c r="AE1852" s="93">
        <f t="shared" si="342"/>
        <v>0</v>
      </c>
      <c r="AF1852" s="93">
        <f t="shared" si="343"/>
        <v>0</v>
      </c>
      <c r="AG1852" s="93">
        <f t="shared" si="344"/>
        <v>0</v>
      </c>
      <c r="AH1852" s="93">
        <f t="shared" si="345"/>
        <v>0</v>
      </c>
      <c r="AI1852" s="88" t="s">
        <v>55</v>
      </c>
      <c r="AJ1852" s="93">
        <f t="shared" si="346"/>
        <v>0</v>
      </c>
      <c r="AK1852" s="93">
        <f t="shared" si="347"/>
        <v>0</v>
      </c>
      <c r="AL1852" s="93">
        <f t="shared" si="348"/>
        <v>0</v>
      </c>
      <c r="AN1852" s="93">
        <v>21</v>
      </c>
      <c r="AO1852" s="93">
        <f>H1852*0.851472537</f>
        <v>0</v>
      </c>
      <c r="AP1852" s="93">
        <f>H1852*(1-0.851472537)</f>
        <v>0</v>
      </c>
      <c r="AQ1852" s="94" t="s">
        <v>148</v>
      </c>
      <c r="AV1852" s="93">
        <f t="shared" si="349"/>
        <v>0</v>
      </c>
      <c r="AW1852" s="93">
        <f t="shared" si="350"/>
        <v>0</v>
      </c>
      <c r="AX1852" s="93">
        <f t="shared" si="351"/>
        <v>0</v>
      </c>
      <c r="AY1852" s="94" t="s">
        <v>2323</v>
      </c>
      <c r="AZ1852" s="94" t="s">
        <v>2247</v>
      </c>
      <c r="BA1852" s="88" t="s">
        <v>67</v>
      </c>
      <c r="BC1852" s="93">
        <f t="shared" si="352"/>
        <v>0</v>
      </c>
      <c r="BD1852" s="93">
        <f t="shared" si="353"/>
        <v>0</v>
      </c>
      <c r="BE1852" s="93">
        <v>0</v>
      </c>
      <c r="BF1852" s="93">
        <f t="shared" si="354"/>
        <v>0</v>
      </c>
      <c r="BH1852" s="93">
        <f t="shared" si="355"/>
        <v>0</v>
      </c>
      <c r="BI1852" s="93">
        <f t="shared" si="356"/>
        <v>0</v>
      </c>
      <c r="BJ1852" s="93">
        <f t="shared" si="357"/>
        <v>0</v>
      </c>
      <c r="BK1852" s="93"/>
      <c r="BL1852" s="93">
        <v>766</v>
      </c>
      <c r="BW1852" s="93" t="str">
        <f t="shared" si="358"/>
        <v>21</v>
      </c>
      <c r="BX1852" s="2" t="s">
        <v>2422</v>
      </c>
    </row>
    <row r="1853" spans="1:76" s="81" customFormat="1" ht="25.5" x14ac:dyDescent="0.25">
      <c r="A1853" s="66" t="s">
        <v>2426</v>
      </c>
      <c r="B1853" s="72" t="s">
        <v>55</v>
      </c>
      <c r="C1853" s="72" t="s">
        <v>2424</v>
      </c>
      <c r="D1853" s="174" t="s">
        <v>2425</v>
      </c>
      <c r="E1853" s="174"/>
      <c r="F1853" s="72" t="s">
        <v>203</v>
      </c>
      <c r="G1853" s="90">
        <v>1</v>
      </c>
      <c r="H1853" s="91"/>
      <c r="I1853" s="92" t="s">
        <v>63</v>
      </c>
      <c r="J1853" s="90">
        <f t="shared" si="333"/>
        <v>0</v>
      </c>
      <c r="K1853" s="90">
        <f t="shared" si="334"/>
        <v>0</v>
      </c>
      <c r="L1853" s="90">
        <f t="shared" si="335"/>
        <v>0</v>
      </c>
      <c r="M1853" s="90">
        <f t="shared" si="336"/>
        <v>0</v>
      </c>
      <c r="N1853" s="90">
        <v>0</v>
      </c>
      <c r="O1853" s="90">
        <f t="shared" si="337"/>
        <v>0</v>
      </c>
      <c r="P1853" s="92" t="s">
        <v>578</v>
      </c>
      <c r="Z1853" s="93">
        <f t="shared" si="338"/>
        <v>0</v>
      </c>
      <c r="AB1853" s="93">
        <f t="shared" si="339"/>
        <v>0</v>
      </c>
      <c r="AC1853" s="93">
        <f t="shared" si="340"/>
        <v>0</v>
      </c>
      <c r="AD1853" s="93">
        <f t="shared" si="341"/>
        <v>0</v>
      </c>
      <c r="AE1853" s="93">
        <f t="shared" si="342"/>
        <v>0</v>
      </c>
      <c r="AF1853" s="93">
        <f t="shared" si="343"/>
        <v>0</v>
      </c>
      <c r="AG1853" s="93">
        <f t="shared" si="344"/>
        <v>0</v>
      </c>
      <c r="AH1853" s="93">
        <f t="shared" si="345"/>
        <v>0</v>
      </c>
      <c r="AI1853" s="88" t="s">
        <v>55</v>
      </c>
      <c r="AJ1853" s="93">
        <f t="shared" si="346"/>
        <v>0</v>
      </c>
      <c r="AK1853" s="93">
        <f t="shared" si="347"/>
        <v>0</v>
      </c>
      <c r="AL1853" s="93">
        <f t="shared" si="348"/>
        <v>0</v>
      </c>
      <c r="AN1853" s="93">
        <v>21</v>
      </c>
      <c r="AO1853" s="93">
        <f>H1853*0.851472475</f>
        <v>0</v>
      </c>
      <c r="AP1853" s="93">
        <f>H1853*(1-0.851472475)</f>
        <v>0</v>
      </c>
      <c r="AQ1853" s="94" t="s">
        <v>148</v>
      </c>
      <c r="AV1853" s="93">
        <f t="shared" si="349"/>
        <v>0</v>
      </c>
      <c r="AW1853" s="93">
        <f t="shared" si="350"/>
        <v>0</v>
      </c>
      <c r="AX1853" s="93">
        <f t="shared" si="351"/>
        <v>0</v>
      </c>
      <c r="AY1853" s="94" t="s">
        <v>2323</v>
      </c>
      <c r="AZ1853" s="94" t="s">
        <v>2247</v>
      </c>
      <c r="BA1853" s="88" t="s">
        <v>67</v>
      </c>
      <c r="BC1853" s="93">
        <f t="shared" si="352"/>
        <v>0</v>
      </c>
      <c r="BD1853" s="93">
        <f t="shared" si="353"/>
        <v>0</v>
      </c>
      <c r="BE1853" s="93">
        <v>0</v>
      </c>
      <c r="BF1853" s="93">
        <f t="shared" si="354"/>
        <v>0</v>
      </c>
      <c r="BH1853" s="93">
        <f t="shared" si="355"/>
        <v>0</v>
      </c>
      <c r="BI1853" s="93">
        <f t="shared" si="356"/>
        <v>0</v>
      </c>
      <c r="BJ1853" s="93">
        <f t="shared" si="357"/>
        <v>0</v>
      </c>
      <c r="BK1853" s="93"/>
      <c r="BL1853" s="93">
        <v>766</v>
      </c>
      <c r="BW1853" s="93" t="str">
        <f t="shared" si="358"/>
        <v>21</v>
      </c>
      <c r="BX1853" s="2" t="s">
        <v>2425</v>
      </c>
    </row>
    <row r="1854" spans="1:76" s="81" customFormat="1" ht="25.5" x14ac:dyDescent="0.25">
      <c r="A1854" s="66" t="s">
        <v>2429</v>
      </c>
      <c r="B1854" s="72" t="s">
        <v>55</v>
      </c>
      <c r="C1854" s="72" t="s">
        <v>2427</v>
      </c>
      <c r="D1854" s="174" t="s">
        <v>2428</v>
      </c>
      <c r="E1854" s="174"/>
      <c r="F1854" s="72" t="s">
        <v>203</v>
      </c>
      <c r="G1854" s="90">
        <v>1</v>
      </c>
      <c r="H1854" s="91"/>
      <c r="I1854" s="92" t="s">
        <v>63</v>
      </c>
      <c r="J1854" s="90">
        <f t="shared" si="333"/>
        <v>0</v>
      </c>
      <c r="K1854" s="90">
        <f t="shared" si="334"/>
        <v>0</v>
      </c>
      <c r="L1854" s="90">
        <f t="shared" si="335"/>
        <v>0</v>
      </c>
      <c r="M1854" s="90">
        <f t="shared" si="336"/>
        <v>0</v>
      </c>
      <c r="N1854" s="90">
        <v>0</v>
      </c>
      <c r="O1854" s="90">
        <f t="shared" si="337"/>
        <v>0</v>
      </c>
      <c r="P1854" s="92" t="s">
        <v>578</v>
      </c>
      <c r="Z1854" s="93">
        <f t="shared" si="338"/>
        <v>0</v>
      </c>
      <c r="AB1854" s="93">
        <f t="shared" si="339"/>
        <v>0</v>
      </c>
      <c r="AC1854" s="93">
        <f t="shared" si="340"/>
        <v>0</v>
      </c>
      <c r="AD1854" s="93">
        <f t="shared" si="341"/>
        <v>0</v>
      </c>
      <c r="AE1854" s="93">
        <f t="shared" si="342"/>
        <v>0</v>
      </c>
      <c r="AF1854" s="93">
        <f t="shared" si="343"/>
        <v>0</v>
      </c>
      <c r="AG1854" s="93">
        <f t="shared" si="344"/>
        <v>0</v>
      </c>
      <c r="AH1854" s="93">
        <f t="shared" si="345"/>
        <v>0</v>
      </c>
      <c r="AI1854" s="88" t="s">
        <v>55</v>
      </c>
      <c r="AJ1854" s="93">
        <f t="shared" si="346"/>
        <v>0</v>
      </c>
      <c r="AK1854" s="93">
        <f t="shared" si="347"/>
        <v>0</v>
      </c>
      <c r="AL1854" s="93">
        <f t="shared" si="348"/>
        <v>0</v>
      </c>
      <c r="AN1854" s="93">
        <v>21</v>
      </c>
      <c r="AO1854" s="93">
        <f>H1854*0.851472376</f>
        <v>0</v>
      </c>
      <c r="AP1854" s="93">
        <f>H1854*(1-0.851472376)</f>
        <v>0</v>
      </c>
      <c r="AQ1854" s="94" t="s">
        <v>148</v>
      </c>
      <c r="AV1854" s="93">
        <f t="shared" si="349"/>
        <v>0</v>
      </c>
      <c r="AW1854" s="93">
        <f t="shared" si="350"/>
        <v>0</v>
      </c>
      <c r="AX1854" s="93">
        <f t="shared" si="351"/>
        <v>0</v>
      </c>
      <c r="AY1854" s="94" t="s">
        <v>2323</v>
      </c>
      <c r="AZ1854" s="94" t="s">
        <v>2247</v>
      </c>
      <c r="BA1854" s="88" t="s">
        <v>67</v>
      </c>
      <c r="BC1854" s="93">
        <f t="shared" si="352"/>
        <v>0</v>
      </c>
      <c r="BD1854" s="93">
        <f t="shared" si="353"/>
        <v>0</v>
      </c>
      <c r="BE1854" s="93">
        <v>0</v>
      </c>
      <c r="BF1854" s="93">
        <f t="shared" si="354"/>
        <v>0</v>
      </c>
      <c r="BH1854" s="93">
        <f t="shared" si="355"/>
        <v>0</v>
      </c>
      <c r="BI1854" s="93">
        <f t="shared" si="356"/>
        <v>0</v>
      </c>
      <c r="BJ1854" s="93">
        <f t="shared" si="357"/>
        <v>0</v>
      </c>
      <c r="BK1854" s="93"/>
      <c r="BL1854" s="93">
        <v>766</v>
      </c>
      <c r="BW1854" s="93" t="str">
        <f t="shared" si="358"/>
        <v>21</v>
      </c>
      <c r="BX1854" s="2" t="s">
        <v>2428</v>
      </c>
    </row>
    <row r="1855" spans="1:76" s="81" customFormat="1" ht="25.5" x14ac:dyDescent="0.25">
      <c r="A1855" s="66" t="s">
        <v>2432</v>
      </c>
      <c r="B1855" s="72" t="s">
        <v>55</v>
      </c>
      <c r="C1855" s="72" t="s">
        <v>2430</v>
      </c>
      <c r="D1855" s="174" t="s">
        <v>2431</v>
      </c>
      <c r="E1855" s="174"/>
      <c r="F1855" s="72" t="s">
        <v>203</v>
      </c>
      <c r="G1855" s="90">
        <v>2</v>
      </c>
      <c r="H1855" s="91"/>
      <c r="I1855" s="92" t="s">
        <v>63</v>
      </c>
      <c r="J1855" s="90">
        <f t="shared" si="333"/>
        <v>0</v>
      </c>
      <c r="K1855" s="90">
        <f t="shared" si="334"/>
        <v>0</v>
      </c>
      <c r="L1855" s="90">
        <f t="shared" si="335"/>
        <v>0</v>
      </c>
      <c r="M1855" s="90">
        <f t="shared" si="336"/>
        <v>0</v>
      </c>
      <c r="N1855" s="90">
        <v>0</v>
      </c>
      <c r="O1855" s="90">
        <f t="shared" si="337"/>
        <v>0</v>
      </c>
      <c r="P1855" s="92" t="s">
        <v>578</v>
      </c>
      <c r="Z1855" s="93">
        <f t="shared" si="338"/>
        <v>0</v>
      </c>
      <c r="AB1855" s="93">
        <f t="shared" si="339"/>
        <v>0</v>
      </c>
      <c r="AC1855" s="93">
        <f t="shared" si="340"/>
        <v>0</v>
      </c>
      <c r="AD1855" s="93">
        <f t="shared" si="341"/>
        <v>0</v>
      </c>
      <c r="AE1855" s="93">
        <f t="shared" si="342"/>
        <v>0</v>
      </c>
      <c r="AF1855" s="93">
        <f t="shared" si="343"/>
        <v>0</v>
      </c>
      <c r="AG1855" s="93">
        <f t="shared" si="344"/>
        <v>0</v>
      </c>
      <c r="AH1855" s="93">
        <f t="shared" si="345"/>
        <v>0</v>
      </c>
      <c r="AI1855" s="88" t="s">
        <v>55</v>
      </c>
      <c r="AJ1855" s="93">
        <f t="shared" si="346"/>
        <v>0</v>
      </c>
      <c r="AK1855" s="93">
        <f t="shared" si="347"/>
        <v>0</v>
      </c>
      <c r="AL1855" s="93">
        <f t="shared" si="348"/>
        <v>0</v>
      </c>
      <c r="AN1855" s="93">
        <v>21</v>
      </c>
      <c r="AO1855" s="93">
        <f>H1855*0.851472771</f>
        <v>0</v>
      </c>
      <c r="AP1855" s="93">
        <f>H1855*(1-0.851472771)</f>
        <v>0</v>
      </c>
      <c r="AQ1855" s="94" t="s">
        <v>148</v>
      </c>
      <c r="AV1855" s="93">
        <f t="shared" si="349"/>
        <v>0</v>
      </c>
      <c r="AW1855" s="93">
        <f t="shared" si="350"/>
        <v>0</v>
      </c>
      <c r="AX1855" s="93">
        <f t="shared" si="351"/>
        <v>0</v>
      </c>
      <c r="AY1855" s="94" t="s">
        <v>2323</v>
      </c>
      <c r="AZ1855" s="94" t="s">
        <v>2247</v>
      </c>
      <c r="BA1855" s="88" t="s">
        <v>67</v>
      </c>
      <c r="BC1855" s="93">
        <f t="shared" si="352"/>
        <v>0</v>
      </c>
      <c r="BD1855" s="93">
        <f t="shared" si="353"/>
        <v>0</v>
      </c>
      <c r="BE1855" s="93">
        <v>0</v>
      </c>
      <c r="BF1855" s="93">
        <f t="shared" si="354"/>
        <v>0</v>
      </c>
      <c r="BH1855" s="93">
        <f t="shared" si="355"/>
        <v>0</v>
      </c>
      <c r="BI1855" s="93">
        <f t="shared" si="356"/>
        <v>0</v>
      </c>
      <c r="BJ1855" s="93">
        <f t="shared" si="357"/>
        <v>0</v>
      </c>
      <c r="BK1855" s="93"/>
      <c r="BL1855" s="93">
        <v>766</v>
      </c>
      <c r="BW1855" s="93" t="str">
        <f t="shared" si="358"/>
        <v>21</v>
      </c>
      <c r="BX1855" s="2" t="s">
        <v>2431</v>
      </c>
    </row>
    <row r="1856" spans="1:76" s="81" customFormat="1" ht="25.5" x14ac:dyDescent="0.25">
      <c r="A1856" s="66" t="s">
        <v>2435</v>
      </c>
      <c r="B1856" s="72" t="s">
        <v>55</v>
      </c>
      <c r="C1856" s="72" t="s">
        <v>2433</v>
      </c>
      <c r="D1856" s="174" t="s">
        <v>2434</v>
      </c>
      <c r="E1856" s="174"/>
      <c r="F1856" s="72" t="s">
        <v>203</v>
      </c>
      <c r="G1856" s="90">
        <v>1</v>
      </c>
      <c r="H1856" s="91"/>
      <c r="I1856" s="92" t="s">
        <v>63</v>
      </c>
      <c r="J1856" s="90">
        <f t="shared" si="333"/>
        <v>0</v>
      </c>
      <c r="K1856" s="90">
        <f t="shared" si="334"/>
        <v>0</v>
      </c>
      <c r="L1856" s="90">
        <f t="shared" si="335"/>
        <v>0</v>
      </c>
      <c r="M1856" s="90">
        <f t="shared" si="336"/>
        <v>0</v>
      </c>
      <c r="N1856" s="90">
        <v>0</v>
      </c>
      <c r="O1856" s="90">
        <f t="shared" si="337"/>
        <v>0</v>
      </c>
      <c r="P1856" s="92" t="s">
        <v>578</v>
      </c>
      <c r="Z1856" s="93">
        <f t="shared" si="338"/>
        <v>0</v>
      </c>
      <c r="AB1856" s="93">
        <f t="shared" si="339"/>
        <v>0</v>
      </c>
      <c r="AC1856" s="93">
        <f t="shared" si="340"/>
        <v>0</v>
      </c>
      <c r="AD1856" s="93">
        <f t="shared" si="341"/>
        <v>0</v>
      </c>
      <c r="AE1856" s="93">
        <f t="shared" si="342"/>
        <v>0</v>
      </c>
      <c r="AF1856" s="93">
        <f t="shared" si="343"/>
        <v>0</v>
      </c>
      <c r="AG1856" s="93">
        <f t="shared" si="344"/>
        <v>0</v>
      </c>
      <c r="AH1856" s="93">
        <f t="shared" si="345"/>
        <v>0</v>
      </c>
      <c r="AI1856" s="88" t="s">
        <v>55</v>
      </c>
      <c r="AJ1856" s="93">
        <f t="shared" si="346"/>
        <v>0</v>
      </c>
      <c r="AK1856" s="93">
        <f t="shared" si="347"/>
        <v>0</v>
      </c>
      <c r="AL1856" s="93">
        <f t="shared" si="348"/>
        <v>0</v>
      </c>
      <c r="AN1856" s="93">
        <v>21</v>
      </c>
      <c r="AO1856" s="93">
        <f>H1856*0.851472751</f>
        <v>0</v>
      </c>
      <c r="AP1856" s="93">
        <f>H1856*(1-0.851472751)</f>
        <v>0</v>
      </c>
      <c r="AQ1856" s="94" t="s">
        <v>148</v>
      </c>
      <c r="AV1856" s="93">
        <f t="shared" si="349"/>
        <v>0</v>
      </c>
      <c r="AW1856" s="93">
        <f t="shared" si="350"/>
        <v>0</v>
      </c>
      <c r="AX1856" s="93">
        <f t="shared" si="351"/>
        <v>0</v>
      </c>
      <c r="AY1856" s="94" t="s">
        <v>2323</v>
      </c>
      <c r="AZ1856" s="94" t="s">
        <v>2247</v>
      </c>
      <c r="BA1856" s="88" t="s">
        <v>67</v>
      </c>
      <c r="BC1856" s="93">
        <f t="shared" si="352"/>
        <v>0</v>
      </c>
      <c r="BD1856" s="93">
        <f t="shared" si="353"/>
        <v>0</v>
      </c>
      <c r="BE1856" s="93">
        <v>0</v>
      </c>
      <c r="BF1856" s="93">
        <f t="shared" si="354"/>
        <v>0</v>
      </c>
      <c r="BH1856" s="93">
        <f t="shared" si="355"/>
        <v>0</v>
      </c>
      <c r="BI1856" s="93">
        <f t="shared" si="356"/>
        <v>0</v>
      </c>
      <c r="BJ1856" s="93">
        <f t="shared" si="357"/>
        <v>0</v>
      </c>
      <c r="BK1856" s="93"/>
      <c r="BL1856" s="93">
        <v>766</v>
      </c>
      <c r="BW1856" s="93" t="str">
        <f t="shared" si="358"/>
        <v>21</v>
      </c>
      <c r="BX1856" s="2" t="s">
        <v>2434</v>
      </c>
    </row>
    <row r="1857" spans="1:76" s="81" customFormat="1" ht="25.5" x14ac:dyDescent="0.25">
      <c r="A1857" s="66" t="s">
        <v>2438</v>
      </c>
      <c r="B1857" s="72" t="s">
        <v>55</v>
      </c>
      <c r="C1857" s="72" t="s">
        <v>2436</v>
      </c>
      <c r="D1857" s="174" t="s">
        <v>2437</v>
      </c>
      <c r="E1857" s="174"/>
      <c r="F1857" s="72" t="s">
        <v>203</v>
      </c>
      <c r="G1857" s="90">
        <v>1</v>
      </c>
      <c r="H1857" s="91"/>
      <c r="I1857" s="92" t="s">
        <v>63</v>
      </c>
      <c r="J1857" s="90">
        <f t="shared" si="333"/>
        <v>0</v>
      </c>
      <c r="K1857" s="90">
        <f t="shared" si="334"/>
        <v>0</v>
      </c>
      <c r="L1857" s="90">
        <f t="shared" si="335"/>
        <v>0</v>
      </c>
      <c r="M1857" s="90">
        <f t="shared" si="336"/>
        <v>0</v>
      </c>
      <c r="N1857" s="90">
        <v>0</v>
      </c>
      <c r="O1857" s="90">
        <f t="shared" si="337"/>
        <v>0</v>
      </c>
      <c r="P1857" s="92" t="s">
        <v>578</v>
      </c>
      <c r="Z1857" s="93">
        <f t="shared" si="338"/>
        <v>0</v>
      </c>
      <c r="AB1857" s="93">
        <f t="shared" si="339"/>
        <v>0</v>
      </c>
      <c r="AC1857" s="93">
        <f t="shared" si="340"/>
        <v>0</v>
      </c>
      <c r="AD1857" s="93">
        <f t="shared" si="341"/>
        <v>0</v>
      </c>
      <c r="AE1857" s="93">
        <f t="shared" si="342"/>
        <v>0</v>
      </c>
      <c r="AF1857" s="93">
        <f t="shared" si="343"/>
        <v>0</v>
      </c>
      <c r="AG1857" s="93">
        <f t="shared" si="344"/>
        <v>0</v>
      </c>
      <c r="AH1857" s="93">
        <f t="shared" si="345"/>
        <v>0</v>
      </c>
      <c r="AI1857" s="88" t="s">
        <v>55</v>
      </c>
      <c r="AJ1857" s="93">
        <f t="shared" si="346"/>
        <v>0</v>
      </c>
      <c r="AK1857" s="93">
        <f t="shared" si="347"/>
        <v>0</v>
      </c>
      <c r="AL1857" s="93">
        <f t="shared" si="348"/>
        <v>0</v>
      </c>
      <c r="AN1857" s="93">
        <v>21</v>
      </c>
      <c r="AO1857" s="93">
        <f>H1857*0.8514733</f>
        <v>0</v>
      </c>
      <c r="AP1857" s="93">
        <f>H1857*(1-0.8514733)</f>
        <v>0</v>
      </c>
      <c r="AQ1857" s="94" t="s">
        <v>148</v>
      </c>
      <c r="AV1857" s="93">
        <f t="shared" si="349"/>
        <v>0</v>
      </c>
      <c r="AW1857" s="93">
        <f t="shared" si="350"/>
        <v>0</v>
      </c>
      <c r="AX1857" s="93">
        <f t="shared" si="351"/>
        <v>0</v>
      </c>
      <c r="AY1857" s="94" t="s">
        <v>2323</v>
      </c>
      <c r="AZ1857" s="94" t="s">
        <v>2247</v>
      </c>
      <c r="BA1857" s="88" t="s">
        <v>67</v>
      </c>
      <c r="BC1857" s="93">
        <f t="shared" si="352"/>
        <v>0</v>
      </c>
      <c r="BD1857" s="93">
        <f t="shared" si="353"/>
        <v>0</v>
      </c>
      <c r="BE1857" s="93">
        <v>0</v>
      </c>
      <c r="BF1857" s="93">
        <f t="shared" si="354"/>
        <v>0</v>
      </c>
      <c r="BH1857" s="93">
        <f t="shared" si="355"/>
        <v>0</v>
      </c>
      <c r="BI1857" s="93">
        <f t="shared" si="356"/>
        <v>0</v>
      </c>
      <c r="BJ1857" s="93">
        <f t="shared" si="357"/>
        <v>0</v>
      </c>
      <c r="BK1857" s="93"/>
      <c r="BL1857" s="93">
        <v>766</v>
      </c>
      <c r="BW1857" s="93" t="str">
        <f t="shared" si="358"/>
        <v>21</v>
      </c>
      <c r="BX1857" s="2" t="s">
        <v>2437</v>
      </c>
    </row>
    <row r="1858" spans="1:76" s="81" customFormat="1" ht="25.5" x14ac:dyDescent="0.25">
      <c r="A1858" s="66" t="s">
        <v>2441</v>
      </c>
      <c r="B1858" s="72" t="s">
        <v>55</v>
      </c>
      <c r="C1858" s="72" t="s">
        <v>2439</v>
      </c>
      <c r="D1858" s="174" t="s">
        <v>2440</v>
      </c>
      <c r="E1858" s="174"/>
      <c r="F1858" s="72" t="s">
        <v>203</v>
      </c>
      <c r="G1858" s="90">
        <v>6</v>
      </c>
      <c r="H1858" s="91"/>
      <c r="I1858" s="92" t="s">
        <v>63</v>
      </c>
      <c r="J1858" s="90">
        <f t="shared" si="333"/>
        <v>0</v>
      </c>
      <c r="K1858" s="90">
        <f t="shared" si="334"/>
        <v>0</v>
      </c>
      <c r="L1858" s="90">
        <f t="shared" si="335"/>
        <v>0</v>
      </c>
      <c r="M1858" s="90">
        <f t="shared" si="336"/>
        <v>0</v>
      </c>
      <c r="N1858" s="90">
        <v>0</v>
      </c>
      <c r="O1858" s="90">
        <f t="shared" si="337"/>
        <v>0</v>
      </c>
      <c r="P1858" s="92" t="s">
        <v>578</v>
      </c>
      <c r="Z1858" s="93">
        <f t="shared" si="338"/>
        <v>0</v>
      </c>
      <c r="AB1858" s="93">
        <f t="shared" si="339"/>
        <v>0</v>
      </c>
      <c r="AC1858" s="93">
        <f t="shared" si="340"/>
        <v>0</v>
      </c>
      <c r="AD1858" s="93">
        <f t="shared" si="341"/>
        <v>0</v>
      </c>
      <c r="AE1858" s="93">
        <f t="shared" si="342"/>
        <v>0</v>
      </c>
      <c r="AF1858" s="93">
        <f t="shared" si="343"/>
        <v>0</v>
      </c>
      <c r="AG1858" s="93">
        <f t="shared" si="344"/>
        <v>0</v>
      </c>
      <c r="AH1858" s="93">
        <f t="shared" si="345"/>
        <v>0</v>
      </c>
      <c r="AI1858" s="88" t="s">
        <v>55</v>
      </c>
      <c r="AJ1858" s="93">
        <f t="shared" si="346"/>
        <v>0</v>
      </c>
      <c r="AK1858" s="93">
        <f t="shared" si="347"/>
        <v>0</v>
      </c>
      <c r="AL1858" s="93">
        <f t="shared" si="348"/>
        <v>0</v>
      </c>
      <c r="AN1858" s="93">
        <v>21</v>
      </c>
      <c r="AO1858" s="93">
        <f>H1858*0.8514733</f>
        <v>0</v>
      </c>
      <c r="AP1858" s="93">
        <f>H1858*(1-0.8514733)</f>
        <v>0</v>
      </c>
      <c r="AQ1858" s="94" t="s">
        <v>148</v>
      </c>
      <c r="AV1858" s="93">
        <f t="shared" si="349"/>
        <v>0</v>
      </c>
      <c r="AW1858" s="93">
        <f t="shared" si="350"/>
        <v>0</v>
      </c>
      <c r="AX1858" s="93">
        <f t="shared" si="351"/>
        <v>0</v>
      </c>
      <c r="AY1858" s="94" t="s">
        <v>2323</v>
      </c>
      <c r="AZ1858" s="94" t="s">
        <v>2247</v>
      </c>
      <c r="BA1858" s="88" t="s">
        <v>67</v>
      </c>
      <c r="BC1858" s="93">
        <f t="shared" si="352"/>
        <v>0</v>
      </c>
      <c r="BD1858" s="93">
        <f t="shared" si="353"/>
        <v>0</v>
      </c>
      <c r="BE1858" s="93">
        <v>0</v>
      </c>
      <c r="BF1858" s="93">
        <f t="shared" si="354"/>
        <v>0</v>
      </c>
      <c r="BH1858" s="93">
        <f t="shared" si="355"/>
        <v>0</v>
      </c>
      <c r="BI1858" s="93">
        <f t="shared" si="356"/>
        <v>0</v>
      </c>
      <c r="BJ1858" s="93">
        <f t="shared" si="357"/>
        <v>0</v>
      </c>
      <c r="BK1858" s="93"/>
      <c r="BL1858" s="93">
        <v>766</v>
      </c>
      <c r="BW1858" s="93" t="str">
        <f t="shared" si="358"/>
        <v>21</v>
      </c>
      <c r="BX1858" s="2" t="s">
        <v>2440</v>
      </c>
    </row>
    <row r="1859" spans="1:76" s="81" customFormat="1" ht="25.5" x14ac:dyDescent="0.25">
      <c r="A1859" s="66" t="s">
        <v>2444</v>
      </c>
      <c r="B1859" s="72" t="s">
        <v>55</v>
      </c>
      <c r="C1859" s="72" t="s">
        <v>2442</v>
      </c>
      <c r="D1859" s="174" t="s">
        <v>2443</v>
      </c>
      <c r="E1859" s="174"/>
      <c r="F1859" s="72" t="s">
        <v>203</v>
      </c>
      <c r="G1859" s="90">
        <v>1</v>
      </c>
      <c r="H1859" s="91"/>
      <c r="I1859" s="92" t="s">
        <v>63</v>
      </c>
      <c r="J1859" s="90">
        <f t="shared" si="333"/>
        <v>0</v>
      </c>
      <c r="K1859" s="90">
        <f t="shared" si="334"/>
        <v>0</v>
      </c>
      <c r="L1859" s="90">
        <f t="shared" si="335"/>
        <v>0</v>
      </c>
      <c r="M1859" s="90">
        <f t="shared" si="336"/>
        <v>0</v>
      </c>
      <c r="N1859" s="90">
        <v>0</v>
      </c>
      <c r="O1859" s="90">
        <f t="shared" si="337"/>
        <v>0</v>
      </c>
      <c r="P1859" s="92" t="s">
        <v>578</v>
      </c>
      <c r="Z1859" s="93">
        <f t="shared" si="338"/>
        <v>0</v>
      </c>
      <c r="AB1859" s="93">
        <f t="shared" si="339"/>
        <v>0</v>
      </c>
      <c r="AC1859" s="93">
        <f t="shared" si="340"/>
        <v>0</v>
      </c>
      <c r="AD1859" s="93">
        <f t="shared" si="341"/>
        <v>0</v>
      </c>
      <c r="AE1859" s="93">
        <f t="shared" si="342"/>
        <v>0</v>
      </c>
      <c r="AF1859" s="93">
        <f t="shared" si="343"/>
        <v>0</v>
      </c>
      <c r="AG1859" s="93">
        <f t="shared" si="344"/>
        <v>0</v>
      </c>
      <c r="AH1859" s="93">
        <f t="shared" si="345"/>
        <v>0</v>
      </c>
      <c r="AI1859" s="88" t="s">
        <v>55</v>
      </c>
      <c r="AJ1859" s="93">
        <f t="shared" si="346"/>
        <v>0</v>
      </c>
      <c r="AK1859" s="93">
        <f t="shared" si="347"/>
        <v>0</v>
      </c>
      <c r="AL1859" s="93">
        <f t="shared" si="348"/>
        <v>0</v>
      </c>
      <c r="AN1859" s="93">
        <v>21</v>
      </c>
      <c r="AO1859" s="93">
        <f>H1859*0.851473285</f>
        <v>0</v>
      </c>
      <c r="AP1859" s="93">
        <f>H1859*(1-0.851473285)</f>
        <v>0</v>
      </c>
      <c r="AQ1859" s="94" t="s">
        <v>148</v>
      </c>
      <c r="AV1859" s="93">
        <f t="shared" si="349"/>
        <v>0</v>
      </c>
      <c r="AW1859" s="93">
        <f t="shared" si="350"/>
        <v>0</v>
      </c>
      <c r="AX1859" s="93">
        <f t="shared" si="351"/>
        <v>0</v>
      </c>
      <c r="AY1859" s="94" t="s">
        <v>2323</v>
      </c>
      <c r="AZ1859" s="94" t="s">
        <v>2247</v>
      </c>
      <c r="BA1859" s="88" t="s">
        <v>67</v>
      </c>
      <c r="BC1859" s="93">
        <f t="shared" si="352"/>
        <v>0</v>
      </c>
      <c r="BD1859" s="93">
        <f t="shared" si="353"/>
        <v>0</v>
      </c>
      <c r="BE1859" s="93">
        <v>0</v>
      </c>
      <c r="BF1859" s="93">
        <f t="shared" si="354"/>
        <v>0</v>
      </c>
      <c r="BH1859" s="93">
        <f t="shared" si="355"/>
        <v>0</v>
      </c>
      <c r="BI1859" s="93">
        <f t="shared" si="356"/>
        <v>0</v>
      </c>
      <c r="BJ1859" s="93">
        <f t="shared" si="357"/>
        <v>0</v>
      </c>
      <c r="BK1859" s="93"/>
      <c r="BL1859" s="93">
        <v>766</v>
      </c>
      <c r="BW1859" s="93" t="str">
        <f t="shared" si="358"/>
        <v>21</v>
      </c>
      <c r="BX1859" s="2" t="s">
        <v>2443</v>
      </c>
    </row>
    <row r="1860" spans="1:76" s="81" customFormat="1" ht="25.5" x14ac:dyDescent="0.25">
      <c r="A1860" s="66" t="s">
        <v>2447</v>
      </c>
      <c r="B1860" s="72" t="s">
        <v>55</v>
      </c>
      <c r="C1860" s="72" t="s">
        <v>2445</v>
      </c>
      <c r="D1860" s="174" t="s">
        <v>2446</v>
      </c>
      <c r="E1860" s="174"/>
      <c r="F1860" s="72" t="s">
        <v>203</v>
      </c>
      <c r="G1860" s="90">
        <v>2</v>
      </c>
      <c r="H1860" s="91"/>
      <c r="I1860" s="92" t="s">
        <v>63</v>
      </c>
      <c r="J1860" s="90">
        <f t="shared" si="333"/>
        <v>0</v>
      </c>
      <c r="K1860" s="90">
        <f t="shared" si="334"/>
        <v>0</v>
      </c>
      <c r="L1860" s="90">
        <f t="shared" si="335"/>
        <v>0</v>
      </c>
      <c r="M1860" s="90">
        <f t="shared" si="336"/>
        <v>0</v>
      </c>
      <c r="N1860" s="90">
        <v>0</v>
      </c>
      <c r="O1860" s="90">
        <f t="shared" si="337"/>
        <v>0</v>
      </c>
      <c r="P1860" s="92" t="s">
        <v>578</v>
      </c>
      <c r="Z1860" s="93">
        <f t="shared" si="338"/>
        <v>0</v>
      </c>
      <c r="AB1860" s="93">
        <f t="shared" si="339"/>
        <v>0</v>
      </c>
      <c r="AC1860" s="93">
        <f t="shared" si="340"/>
        <v>0</v>
      </c>
      <c r="AD1860" s="93">
        <f t="shared" si="341"/>
        <v>0</v>
      </c>
      <c r="AE1860" s="93">
        <f t="shared" si="342"/>
        <v>0</v>
      </c>
      <c r="AF1860" s="93">
        <f t="shared" si="343"/>
        <v>0</v>
      </c>
      <c r="AG1860" s="93">
        <f t="shared" si="344"/>
        <v>0</v>
      </c>
      <c r="AH1860" s="93">
        <f t="shared" si="345"/>
        <v>0</v>
      </c>
      <c r="AI1860" s="88" t="s">
        <v>55</v>
      </c>
      <c r="AJ1860" s="93">
        <f t="shared" si="346"/>
        <v>0</v>
      </c>
      <c r="AK1860" s="93">
        <f t="shared" si="347"/>
        <v>0</v>
      </c>
      <c r="AL1860" s="93">
        <f t="shared" si="348"/>
        <v>0</v>
      </c>
      <c r="AN1860" s="93">
        <v>21</v>
      </c>
      <c r="AO1860" s="93">
        <f>H1860*0.851473419</f>
        <v>0</v>
      </c>
      <c r="AP1860" s="93">
        <f>H1860*(1-0.851473419)</f>
        <v>0</v>
      </c>
      <c r="AQ1860" s="94" t="s">
        <v>148</v>
      </c>
      <c r="AV1860" s="93">
        <f t="shared" si="349"/>
        <v>0</v>
      </c>
      <c r="AW1860" s="93">
        <f t="shared" si="350"/>
        <v>0</v>
      </c>
      <c r="AX1860" s="93">
        <f t="shared" si="351"/>
        <v>0</v>
      </c>
      <c r="AY1860" s="94" t="s">
        <v>2323</v>
      </c>
      <c r="AZ1860" s="94" t="s">
        <v>2247</v>
      </c>
      <c r="BA1860" s="88" t="s">
        <v>67</v>
      </c>
      <c r="BC1860" s="93">
        <f t="shared" si="352"/>
        <v>0</v>
      </c>
      <c r="BD1860" s="93">
        <f t="shared" si="353"/>
        <v>0</v>
      </c>
      <c r="BE1860" s="93">
        <v>0</v>
      </c>
      <c r="BF1860" s="93">
        <f t="shared" si="354"/>
        <v>0</v>
      </c>
      <c r="BH1860" s="93">
        <f t="shared" si="355"/>
        <v>0</v>
      </c>
      <c r="BI1860" s="93">
        <f t="shared" si="356"/>
        <v>0</v>
      </c>
      <c r="BJ1860" s="93">
        <f t="shared" si="357"/>
        <v>0</v>
      </c>
      <c r="BK1860" s="93"/>
      <c r="BL1860" s="93">
        <v>766</v>
      </c>
      <c r="BW1860" s="93" t="str">
        <f t="shared" si="358"/>
        <v>21</v>
      </c>
      <c r="BX1860" s="2" t="s">
        <v>2446</v>
      </c>
    </row>
    <row r="1861" spans="1:76" s="81" customFormat="1" ht="25.5" x14ac:dyDescent="0.25">
      <c r="A1861" s="66" t="s">
        <v>2450</v>
      </c>
      <c r="B1861" s="72" t="s">
        <v>55</v>
      </c>
      <c r="C1861" s="72" t="s">
        <v>2448</v>
      </c>
      <c r="D1861" s="174" t="s">
        <v>2449</v>
      </c>
      <c r="E1861" s="174"/>
      <c r="F1861" s="72" t="s">
        <v>203</v>
      </c>
      <c r="G1861" s="90">
        <v>9</v>
      </c>
      <c r="H1861" s="91"/>
      <c r="I1861" s="92" t="s">
        <v>63</v>
      </c>
      <c r="J1861" s="90">
        <f t="shared" si="333"/>
        <v>0</v>
      </c>
      <c r="K1861" s="90">
        <f t="shared" si="334"/>
        <v>0</v>
      </c>
      <c r="L1861" s="90">
        <f t="shared" si="335"/>
        <v>0</v>
      </c>
      <c r="M1861" s="90">
        <f t="shared" si="336"/>
        <v>0</v>
      </c>
      <c r="N1861" s="90">
        <v>0</v>
      </c>
      <c r="O1861" s="90">
        <f t="shared" si="337"/>
        <v>0</v>
      </c>
      <c r="P1861" s="92" t="s">
        <v>578</v>
      </c>
      <c r="Z1861" s="93">
        <f t="shared" si="338"/>
        <v>0</v>
      </c>
      <c r="AB1861" s="93">
        <f t="shared" si="339"/>
        <v>0</v>
      </c>
      <c r="AC1861" s="93">
        <f t="shared" si="340"/>
        <v>0</v>
      </c>
      <c r="AD1861" s="93">
        <f t="shared" si="341"/>
        <v>0</v>
      </c>
      <c r="AE1861" s="93">
        <f t="shared" si="342"/>
        <v>0</v>
      </c>
      <c r="AF1861" s="93">
        <f t="shared" si="343"/>
        <v>0</v>
      </c>
      <c r="AG1861" s="93">
        <f t="shared" si="344"/>
        <v>0</v>
      </c>
      <c r="AH1861" s="93">
        <f t="shared" si="345"/>
        <v>0</v>
      </c>
      <c r="AI1861" s="88" t="s">
        <v>55</v>
      </c>
      <c r="AJ1861" s="93">
        <f t="shared" si="346"/>
        <v>0</v>
      </c>
      <c r="AK1861" s="93">
        <f t="shared" si="347"/>
        <v>0</v>
      </c>
      <c r="AL1861" s="93">
        <f t="shared" si="348"/>
        <v>0</v>
      </c>
      <c r="AN1861" s="93">
        <v>21</v>
      </c>
      <c r="AO1861" s="93">
        <f>H1861*0.851473375</f>
        <v>0</v>
      </c>
      <c r="AP1861" s="93">
        <f>H1861*(1-0.851473375)</f>
        <v>0</v>
      </c>
      <c r="AQ1861" s="94" t="s">
        <v>148</v>
      </c>
      <c r="AV1861" s="93">
        <f t="shared" si="349"/>
        <v>0</v>
      </c>
      <c r="AW1861" s="93">
        <f t="shared" si="350"/>
        <v>0</v>
      </c>
      <c r="AX1861" s="93">
        <f t="shared" si="351"/>
        <v>0</v>
      </c>
      <c r="AY1861" s="94" t="s">
        <v>2323</v>
      </c>
      <c r="AZ1861" s="94" t="s">
        <v>2247</v>
      </c>
      <c r="BA1861" s="88" t="s">
        <v>67</v>
      </c>
      <c r="BC1861" s="93">
        <f t="shared" si="352"/>
        <v>0</v>
      </c>
      <c r="BD1861" s="93">
        <f t="shared" si="353"/>
        <v>0</v>
      </c>
      <c r="BE1861" s="93">
        <v>0</v>
      </c>
      <c r="BF1861" s="93">
        <f t="shared" si="354"/>
        <v>0</v>
      </c>
      <c r="BH1861" s="93">
        <f t="shared" si="355"/>
        <v>0</v>
      </c>
      <c r="BI1861" s="93">
        <f t="shared" si="356"/>
        <v>0</v>
      </c>
      <c r="BJ1861" s="93">
        <f t="shared" si="357"/>
        <v>0</v>
      </c>
      <c r="BK1861" s="93"/>
      <c r="BL1861" s="93">
        <v>766</v>
      </c>
      <c r="BW1861" s="93" t="str">
        <f t="shared" si="358"/>
        <v>21</v>
      </c>
      <c r="BX1861" s="2" t="s">
        <v>2449</v>
      </c>
    </row>
    <row r="1862" spans="1:76" s="81" customFormat="1" ht="25.5" x14ac:dyDescent="0.25">
      <c r="A1862" s="66" t="s">
        <v>2453</v>
      </c>
      <c r="B1862" s="72" t="s">
        <v>55</v>
      </c>
      <c r="C1862" s="72" t="s">
        <v>2451</v>
      </c>
      <c r="D1862" s="174" t="s">
        <v>2452</v>
      </c>
      <c r="E1862" s="174"/>
      <c r="F1862" s="72" t="s">
        <v>203</v>
      </c>
      <c r="G1862" s="90">
        <v>1</v>
      </c>
      <c r="H1862" s="91"/>
      <c r="I1862" s="92" t="s">
        <v>63</v>
      </c>
      <c r="J1862" s="90">
        <f t="shared" si="333"/>
        <v>0</v>
      </c>
      <c r="K1862" s="90">
        <f t="shared" si="334"/>
        <v>0</v>
      </c>
      <c r="L1862" s="90">
        <f t="shared" si="335"/>
        <v>0</v>
      </c>
      <c r="M1862" s="90">
        <f t="shared" si="336"/>
        <v>0</v>
      </c>
      <c r="N1862" s="90">
        <v>0</v>
      </c>
      <c r="O1862" s="90">
        <f t="shared" si="337"/>
        <v>0</v>
      </c>
      <c r="P1862" s="92" t="s">
        <v>578</v>
      </c>
      <c r="Z1862" s="93">
        <f t="shared" si="338"/>
        <v>0</v>
      </c>
      <c r="AB1862" s="93">
        <f t="shared" si="339"/>
        <v>0</v>
      </c>
      <c r="AC1862" s="93">
        <f t="shared" si="340"/>
        <v>0</v>
      </c>
      <c r="AD1862" s="93">
        <f t="shared" si="341"/>
        <v>0</v>
      </c>
      <c r="AE1862" s="93">
        <f t="shared" si="342"/>
        <v>0</v>
      </c>
      <c r="AF1862" s="93">
        <f t="shared" si="343"/>
        <v>0</v>
      </c>
      <c r="AG1862" s="93">
        <f t="shared" si="344"/>
        <v>0</v>
      </c>
      <c r="AH1862" s="93">
        <f t="shared" si="345"/>
        <v>0</v>
      </c>
      <c r="AI1862" s="88" t="s">
        <v>55</v>
      </c>
      <c r="AJ1862" s="93">
        <f t="shared" si="346"/>
        <v>0</v>
      </c>
      <c r="AK1862" s="93">
        <f t="shared" si="347"/>
        <v>0</v>
      </c>
      <c r="AL1862" s="93">
        <f t="shared" si="348"/>
        <v>0</v>
      </c>
      <c r="AN1862" s="93">
        <v>21</v>
      </c>
      <c r="AO1862" s="93">
        <f>H1862*0.851473538</f>
        <v>0</v>
      </c>
      <c r="AP1862" s="93">
        <f>H1862*(1-0.851473538)</f>
        <v>0</v>
      </c>
      <c r="AQ1862" s="94" t="s">
        <v>148</v>
      </c>
      <c r="AV1862" s="93">
        <f t="shared" si="349"/>
        <v>0</v>
      </c>
      <c r="AW1862" s="93">
        <f t="shared" si="350"/>
        <v>0</v>
      </c>
      <c r="AX1862" s="93">
        <f t="shared" si="351"/>
        <v>0</v>
      </c>
      <c r="AY1862" s="94" t="s">
        <v>2323</v>
      </c>
      <c r="AZ1862" s="94" t="s">
        <v>2247</v>
      </c>
      <c r="BA1862" s="88" t="s">
        <v>67</v>
      </c>
      <c r="BC1862" s="93">
        <f t="shared" si="352"/>
        <v>0</v>
      </c>
      <c r="BD1862" s="93">
        <f t="shared" si="353"/>
        <v>0</v>
      </c>
      <c r="BE1862" s="93">
        <v>0</v>
      </c>
      <c r="BF1862" s="93">
        <f t="shared" si="354"/>
        <v>0</v>
      </c>
      <c r="BH1862" s="93">
        <f t="shared" si="355"/>
        <v>0</v>
      </c>
      <c r="BI1862" s="93">
        <f t="shared" si="356"/>
        <v>0</v>
      </c>
      <c r="BJ1862" s="93">
        <f t="shared" si="357"/>
        <v>0</v>
      </c>
      <c r="BK1862" s="93"/>
      <c r="BL1862" s="93">
        <v>766</v>
      </c>
      <c r="BW1862" s="93" t="str">
        <f t="shared" si="358"/>
        <v>21</v>
      </c>
      <c r="BX1862" s="2" t="s">
        <v>2452</v>
      </c>
    </row>
    <row r="1863" spans="1:76" s="81" customFormat="1" ht="25.5" x14ac:dyDescent="0.25">
      <c r="A1863" s="66" t="s">
        <v>2456</v>
      </c>
      <c r="B1863" s="72" t="s">
        <v>55</v>
      </c>
      <c r="C1863" s="72" t="s">
        <v>2454</v>
      </c>
      <c r="D1863" s="174" t="s">
        <v>2455</v>
      </c>
      <c r="E1863" s="174"/>
      <c r="F1863" s="72" t="s">
        <v>203</v>
      </c>
      <c r="G1863" s="90">
        <v>2</v>
      </c>
      <c r="H1863" s="91"/>
      <c r="I1863" s="92" t="s">
        <v>63</v>
      </c>
      <c r="J1863" s="90">
        <f t="shared" si="333"/>
        <v>0</v>
      </c>
      <c r="K1863" s="90">
        <f t="shared" si="334"/>
        <v>0</v>
      </c>
      <c r="L1863" s="90">
        <f t="shared" si="335"/>
        <v>0</v>
      </c>
      <c r="M1863" s="90">
        <f t="shared" si="336"/>
        <v>0</v>
      </c>
      <c r="N1863" s="90">
        <v>0</v>
      </c>
      <c r="O1863" s="90">
        <f t="shared" si="337"/>
        <v>0</v>
      </c>
      <c r="P1863" s="92" t="s">
        <v>578</v>
      </c>
      <c r="Z1863" s="93">
        <f t="shared" si="338"/>
        <v>0</v>
      </c>
      <c r="AB1863" s="93">
        <f t="shared" si="339"/>
        <v>0</v>
      </c>
      <c r="AC1863" s="93">
        <f t="shared" si="340"/>
        <v>0</v>
      </c>
      <c r="AD1863" s="93">
        <f t="shared" si="341"/>
        <v>0</v>
      </c>
      <c r="AE1863" s="93">
        <f t="shared" si="342"/>
        <v>0</v>
      </c>
      <c r="AF1863" s="93">
        <f t="shared" si="343"/>
        <v>0</v>
      </c>
      <c r="AG1863" s="93">
        <f t="shared" si="344"/>
        <v>0</v>
      </c>
      <c r="AH1863" s="93">
        <f t="shared" si="345"/>
        <v>0</v>
      </c>
      <c r="AI1863" s="88" t="s">
        <v>55</v>
      </c>
      <c r="AJ1863" s="93">
        <f t="shared" si="346"/>
        <v>0</v>
      </c>
      <c r="AK1863" s="93">
        <f t="shared" si="347"/>
        <v>0</v>
      </c>
      <c r="AL1863" s="93">
        <f t="shared" si="348"/>
        <v>0</v>
      </c>
      <c r="AN1863" s="93">
        <v>21</v>
      </c>
      <c r="AO1863" s="93">
        <f>H1863*0.851472464</f>
        <v>0</v>
      </c>
      <c r="AP1863" s="93">
        <f>H1863*(1-0.851472464)</f>
        <v>0</v>
      </c>
      <c r="AQ1863" s="94" t="s">
        <v>148</v>
      </c>
      <c r="AV1863" s="93">
        <f t="shared" si="349"/>
        <v>0</v>
      </c>
      <c r="AW1863" s="93">
        <f t="shared" si="350"/>
        <v>0</v>
      </c>
      <c r="AX1863" s="93">
        <f t="shared" si="351"/>
        <v>0</v>
      </c>
      <c r="AY1863" s="94" t="s">
        <v>2323</v>
      </c>
      <c r="AZ1863" s="94" t="s">
        <v>2247</v>
      </c>
      <c r="BA1863" s="88" t="s">
        <v>67</v>
      </c>
      <c r="BC1863" s="93">
        <f t="shared" si="352"/>
        <v>0</v>
      </c>
      <c r="BD1863" s="93">
        <f t="shared" si="353"/>
        <v>0</v>
      </c>
      <c r="BE1863" s="93">
        <v>0</v>
      </c>
      <c r="BF1863" s="93">
        <f t="shared" si="354"/>
        <v>0</v>
      </c>
      <c r="BH1863" s="93">
        <f t="shared" si="355"/>
        <v>0</v>
      </c>
      <c r="BI1863" s="93">
        <f t="shared" si="356"/>
        <v>0</v>
      </c>
      <c r="BJ1863" s="93">
        <f t="shared" si="357"/>
        <v>0</v>
      </c>
      <c r="BK1863" s="93"/>
      <c r="BL1863" s="93">
        <v>766</v>
      </c>
      <c r="BW1863" s="93" t="str">
        <f t="shared" si="358"/>
        <v>21</v>
      </c>
      <c r="BX1863" s="2" t="s">
        <v>2455</v>
      </c>
    </row>
    <row r="1864" spans="1:76" s="81" customFormat="1" ht="25.5" x14ac:dyDescent="0.25">
      <c r="A1864" s="66" t="s">
        <v>2460</v>
      </c>
      <c r="B1864" s="72" t="s">
        <v>55</v>
      </c>
      <c r="C1864" s="72" t="s">
        <v>2457</v>
      </c>
      <c r="D1864" s="174" t="s">
        <v>2458</v>
      </c>
      <c r="E1864" s="174"/>
      <c r="F1864" s="72" t="s">
        <v>203</v>
      </c>
      <c r="G1864" s="90">
        <v>1</v>
      </c>
      <c r="H1864" s="91"/>
      <c r="I1864" s="92" t="s">
        <v>63</v>
      </c>
      <c r="J1864" s="90">
        <f t="shared" si="333"/>
        <v>0</v>
      </c>
      <c r="K1864" s="90">
        <f t="shared" si="334"/>
        <v>0</v>
      </c>
      <c r="L1864" s="90">
        <f t="shared" si="335"/>
        <v>0</v>
      </c>
      <c r="M1864" s="90">
        <f t="shared" si="336"/>
        <v>0</v>
      </c>
      <c r="N1864" s="90">
        <v>2.5000000000000001E-2</v>
      </c>
      <c r="O1864" s="90">
        <f t="shared" si="337"/>
        <v>2.5000000000000001E-2</v>
      </c>
      <c r="P1864" s="92" t="s">
        <v>578</v>
      </c>
      <c r="Z1864" s="93">
        <f t="shared" si="338"/>
        <v>0</v>
      </c>
      <c r="AB1864" s="93">
        <f t="shared" si="339"/>
        <v>0</v>
      </c>
      <c r="AC1864" s="93">
        <f t="shared" si="340"/>
        <v>0</v>
      </c>
      <c r="AD1864" s="93">
        <f t="shared" si="341"/>
        <v>0</v>
      </c>
      <c r="AE1864" s="93">
        <f t="shared" si="342"/>
        <v>0</v>
      </c>
      <c r="AF1864" s="93">
        <f t="shared" si="343"/>
        <v>0</v>
      </c>
      <c r="AG1864" s="93">
        <f t="shared" si="344"/>
        <v>0</v>
      </c>
      <c r="AH1864" s="93">
        <f t="shared" si="345"/>
        <v>0</v>
      </c>
      <c r="AI1864" s="88" t="s">
        <v>55</v>
      </c>
      <c r="AJ1864" s="93">
        <f t="shared" si="346"/>
        <v>0</v>
      </c>
      <c r="AK1864" s="93">
        <f t="shared" si="347"/>
        <v>0</v>
      </c>
      <c r="AL1864" s="93">
        <f t="shared" si="348"/>
        <v>0</v>
      </c>
      <c r="AN1864" s="93">
        <v>21</v>
      </c>
      <c r="AO1864" s="93">
        <f>H1864*0.85</f>
        <v>0</v>
      </c>
      <c r="AP1864" s="93">
        <f>H1864*(1-0.85)</f>
        <v>0</v>
      </c>
      <c r="AQ1864" s="94" t="s">
        <v>148</v>
      </c>
      <c r="AV1864" s="93">
        <f t="shared" si="349"/>
        <v>0</v>
      </c>
      <c r="AW1864" s="93">
        <f t="shared" si="350"/>
        <v>0</v>
      </c>
      <c r="AX1864" s="93">
        <f t="shared" si="351"/>
        <v>0</v>
      </c>
      <c r="AY1864" s="94" t="s">
        <v>2323</v>
      </c>
      <c r="AZ1864" s="94" t="s">
        <v>2247</v>
      </c>
      <c r="BA1864" s="88" t="s">
        <v>67</v>
      </c>
      <c r="BC1864" s="93">
        <f t="shared" si="352"/>
        <v>0</v>
      </c>
      <c r="BD1864" s="93">
        <f t="shared" si="353"/>
        <v>0</v>
      </c>
      <c r="BE1864" s="93">
        <v>0</v>
      </c>
      <c r="BF1864" s="93">
        <f t="shared" si="354"/>
        <v>2.5000000000000001E-2</v>
      </c>
      <c r="BH1864" s="93">
        <f t="shared" si="355"/>
        <v>0</v>
      </c>
      <c r="BI1864" s="93">
        <f t="shared" si="356"/>
        <v>0</v>
      </c>
      <c r="BJ1864" s="93">
        <f t="shared" si="357"/>
        <v>0</v>
      </c>
      <c r="BK1864" s="93"/>
      <c r="BL1864" s="93">
        <v>766</v>
      </c>
      <c r="BW1864" s="93" t="str">
        <f t="shared" si="358"/>
        <v>21</v>
      </c>
      <c r="BX1864" s="2" t="s">
        <v>2458</v>
      </c>
    </row>
    <row r="1865" spans="1:76" s="81" customFormat="1" ht="13.5" customHeight="1" x14ac:dyDescent="0.25">
      <c r="A1865" s="110"/>
      <c r="B1865" s="95"/>
      <c r="C1865" s="95"/>
      <c r="D1865" s="179" t="s">
        <v>2459</v>
      </c>
      <c r="E1865" s="179"/>
      <c r="F1865" s="179"/>
      <c r="G1865" s="179"/>
      <c r="H1865" s="179"/>
      <c r="I1865" s="179"/>
      <c r="J1865" s="179"/>
      <c r="K1865" s="179"/>
      <c r="L1865" s="179"/>
      <c r="M1865" s="179"/>
      <c r="N1865" s="179"/>
      <c r="O1865" s="179"/>
      <c r="P1865" s="179"/>
    </row>
    <row r="1866" spans="1:76" s="81" customFormat="1" ht="25.5" x14ac:dyDescent="0.25">
      <c r="A1866" s="66" t="s">
        <v>2463</v>
      </c>
      <c r="B1866" s="72" t="s">
        <v>55</v>
      </c>
      <c r="C1866" s="72" t="s">
        <v>2461</v>
      </c>
      <c r="D1866" s="174" t="s">
        <v>2462</v>
      </c>
      <c r="E1866" s="174"/>
      <c r="F1866" s="72" t="s">
        <v>203</v>
      </c>
      <c r="G1866" s="90">
        <v>5</v>
      </c>
      <c r="H1866" s="91"/>
      <c r="I1866" s="92" t="s">
        <v>63</v>
      </c>
      <c r="J1866" s="90">
        <f>G1866*AO1866</f>
        <v>0</v>
      </c>
      <c r="K1866" s="90">
        <f>G1866*AP1866</f>
        <v>0</v>
      </c>
      <c r="L1866" s="90">
        <f>G1866*H1866</f>
        <v>0</v>
      </c>
      <c r="M1866" s="90">
        <f>L1866*(1+BW1866/100)</f>
        <v>0</v>
      </c>
      <c r="N1866" s="90">
        <v>2.5000000000000001E-2</v>
      </c>
      <c r="O1866" s="90">
        <f>G1866*N1866</f>
        <v>0.125</v>
      </c>
      <c r="P1866" s="92" t="s">
        <v>578</v>
      </c>
      <c r="Z1866" s="93">
        <f>IF(AQ1866="5",BJ1866,0)</f>
        <v>0</v>
      </c>
      <c r="AB1866" s="93">
        <f>IF(AQ1866="1",BH1866,0)</f>
        <v>0</v>
      </c>
      <c r="AC1866" s="93">
        <f>IF(AQ1866="1",BI1866,0)</f>
        <v>0</v>
      </c>
      <c r="AD1866" s="93">
        <f>IF(AQ1866="7",BH1866,0)</f>
        <v>0</v>
      </c>
      <c r="AE1866" s="93">
        <f>IF(AQ1866="7",BI1866,0)</f>
        <v>0</v>
      </c>
      <c r="AF1866" s="93">
        <f>IF(AQ1866="2",BH1866,0)</f>
        <v>0</v>
      </c>
      <c r="AG1866" s="93">
        <f>IF(AQ1866="2",BI1866,0)</f>
        <v>0</v>
      </c>
      <c r="AH1866" s="93">
        <f>IF(AQ1866="0",BJ1866,0)</f>
        <v>0</v>
      </c>
      <c r="AI1866" s="88" t="s">
        <v>55</v>
      </c>
      <c r="AJ1866" s="93">
        <f>IF(AN1866=0,L1866,0)</f>
        <v>0</v>
      </c>
      <c r="AK1866" s="93">
        <f>IF(AN1866=12,L1866,0)</f>
        <v>0</v>
      </c>
      <c r="AL1866" s="93">
        <f>IF(AN1866=21,L1866,0)</f>
        <v>0</v>
      </c>
      <c r="AN1866" s="93">
        <v>21</v>
      </c>
      <c r="AO1866" s="93">
        <f>H1866*0.85</f>
        <v>0</v>
      </c>
      <c r="AP1866" s="93">
        <f>H1866*(1-0.85)</f>
        <v>0</v>
      </c>
      <c r="AQ1866" s="94" t="s">
        <v>148</v>
      </c>
      <c r="AV1866" s="93">
        <f>AW1866+AX1866</f>
        <v>0</v>
      </c>
      <c r="AW1866" s="93">
        <f>G1866*AO1866</f>
        <v>0</v>
      </c>
      <c r="AX1866" s="93">
        <f>G1866*AP1866</f>
        <v>0</v>
      </c>
      <c r="AY1866" s="94" t="s">
        <v>2323</v>
      </c>
      <c r="AZ1866" s="94" t="s">
        <v>2247</v>
      </c>
      <c r="BA1866" s="88" t="s">
        <v>67</v>
      </c>
      <c r="BC1866" s="93">
        <f>AW1866+AX1866</f>
        <v>0</v>
      </c>
      <c r="BD1866" s="93">
        <f>H1866/(100-BE1866)*100</f>
        <v>0</v>
      </c>
      <c r="BE1866" s="93">
        <v>0</v>
      </c>
      <c r="BF1866" s="93">
        <f>O1866</f>
        <v>0.125</v>
      </c>
      <c r="BH1866" s="93">
        <f>G1866*AO1866</f>
        <v>0</v>
      </c>
      <c r="BI1866" s="93">
        <f>G1866*AP1866</f>
        <v>0</v>
      </c>
      <c r="BJ1866" s="93">
        <f>G1866*H1866</f>
        <v>0</v>
      </c>
      <c r="BK1866" s="93"/>
      <c r="BL1866" s="93">
        <v>766</v>
      </c>
      <c r="BW1866" s="93" t="str">
        <f>I1866</f>
        <v>21</v>
      </c>
      <c r="BX1866" s="2" t="s">
        <v>2462</v>
      </c>
    </row>
    <row r="1867" spans="1:76" s="81" customFormat="1" ht="13.5" customHeight="1" x14ac:dyDescent="0.25">
      <c r="A1867" s="110"/>
      <c r="B1867" s="95"/>
      <c r="C1867" s="95"/>
      <c r="D1867" s="179" t="s">
        <v>2459</v>
      </c>
      <c r="E1867" s="179"/>
      <c r="F1867" s="179"/>
      <c r="G1867" s="179"/>
      <c r="H1867" s="179"/>
      <c r="I1867" s="179"/>
      <c r="J1867" s="179"/>
      <c r="K1867" s="179"/>
      <c r="L1867" s="179"/>
      <c r="M1867" s="179"/>
      <c r="N1867" s="179"/>
      <c r="O1867" s="179"/>
      <c r="P1867" s="179"/>
    </row>
    <row r="1868" spans="1:76" s="81" customFormat="1" ht="25.5" x14ac:dyDescent="0.25">
      <c r="A1868" s="66" t="s">
        <v>2466</v>
      </c>
      <c r="B1868" s="72" t="s">
        <v>55</v>
      </c>
      <c r="C1868" s="72" t="s">
        <v>2464</v>
      </c>
      <c r="D1868" s="174" t="s">
        <v>2465</v>
      </c>
      <c r="E1868" s="174"/>
      <c r="F1868" s="72" t="s">
        <v>203</v>
      </c>
      <c r="G1868" s="90">
        <v>1</v>
      </c>
      <c r="H1868" s="91"/>
      <c r="I1868" s="92" t="s">
        <v>63</v>
      </c>
      <c r="J1868" s="90">
        <f>G1868*AO1868</f>
        <v>0</v>
      </c>
      <c r="K1868" s="90">
        <f>G1868*AP1868</f>
        <v>0</v>
      </c>
      <c r="L1868" s="90">
        <f>G1868*H1868</f>
        <v>0</v>
      </c>
      <c r="M1868" s="90">
        <f>L1868*(1+BW1868/100)</f>
        <v>0</v>
      </c>
      <c r="N1868" s="90">
        <v>2.5000000000000001E-2</v>
      </c>
      <c r="O1868" s="90">
        <f>G1868*N1868</f>
        <v>2.5000000000000001E-2</v>
      </c>
      <c r="P1868" s="92" t="s">
        <v>578</v>
      </c>
      <c r="Z1868" s="93">
        <f>IF(AQ1868="5",BJ1868,0)</f>
        <v>0</v>
      </c>
      <c r="AB1868" s="93">
        <f>IF(AQ1868="1",BH1868,0)</f>
        <v>0</v>
      </c>
      <c r="AC1868" s="93">
        <f>IF(AQ1868="1",BI1868,0)</f>
        <v>0</v>
      </c>
      <c r="AD1868" s="93">
        <f>IF(AQ1868="7",BH1868,0)</f>
        <v>0</v>
      </c>
      <c r="AE1868" s="93">
        <f>IF(AQ1868="7",BI1868,0)</f>
        <v>0</v>
      </c>
      <c r="AF1868" s="93">
        <f>IF(AQ1868="2",BH1868,0)</f>
        <v>0</v>
      </c>
      <c r="AG1868" s="93">
        <f>IF(AQ1868="2",BI1868,0)</f>
        <v>0</v>
      </c>
      <c r="AH1868" s="93">
        <f>IF(AQ1868="0",BJ1868,0)</f>
        <v>0</v>
      </c>
      <c r="AI1868" s="88" t="s">
        <v>55</v>
      </c>
      <c r="AJ1868" s="93">
        <f>IF(AN1868=0,L1868,0)</f>
        <v>0</v>
      </c>
      <c r="AK1868" s="93">
        <f>IF(AN1868=12,L1868,0)</f>
        <v>0</v>
      </c>
      <c r="AL1868" s="93">
        <f>IF(AN1868=21,L1868,0)</f>
        <v>0</v>
      </c>
      <c r="AN1868" s="93">
        <v>21</v>
      </c>
      <c r="AO1868" s="93">
        <f>H1868*0.86</f>
        <v>0</v>
      </c>
      <c r="AP1868" s="93">
        <f>H1868*(1-0.86)</f>
        <v>0</v>
      </c>
      <c r="AQ1868" s="94" t="s">
        <v>148</v>
      </c>
      <c r="AV1868" s="93">
        <f>AW1868+AX1868</f>
        <v>0</v>
      </c>
      <c r="AW1868" s="93">
        <f>G1868*AO1868</f>
        <v>0</v>
      </c>
      <c r="AX1868" s="93">
        <f>G1868*AP1868</f>
        <v>0</v>
      </c>
      <c r="AY1868" s="94" t="s">
        <v>2323</v>
      </c>
      <c r="AZ1868" s="94" t="s">
        <v>2247</v>
      </c>
      <c r="BA1868" s="88" t="s">
        <v>67</v>
      </c>
      <c r="BC1868" s="93">
        <f>AW1868+AX1868</f>
        <v>0</v>
      </c>
      <c r="BD1868" s="93">
        <f>H1868/(100-BE1868)*100</f>
        <v>0</v>
      </c>
      <c r="BE1868" s="93">
        <v>0</v>
      </c>
      <c r="BF1868" s="93">
        <f>O1868</f>
        <v>2.5000000000000001E-2</v>
      </c>
      <c r="BH1868" s="93">
        <f>G1868*AO1868</f>
        <v>0</v>
      </c>
      <c r="BI1868" s="93">
        <f>G1868*AP1868</f>
        <v>0</v>
      </c>
      <c r="BJ1868" s="93">
        <f>G1868*H1868</f>
        <v>0</v>
      </c>
      <c r="BK1868" s="93"/>
      <c r="BL1868" s="93">
        <v>766</v>
      </c>
      <c r="BW1868" s="93" t="str">
        <f>I1868</f>
        <v>21</v>
      </c>
      <c r="BX1868" s="2" t="s">
        <v>2465</v>
      </c>
    </row>
    <row r="1869" spans="1:76" s="81" customFormat="1" ht="13.5" customHeight="1" x14ac:dyDescent="0.25">
      <c r="A1869" s="110"/>
      <c r="B1869" s="95"/>
      <c r="C1869" s="95"/>
      <c r="D1869" s="179" t="s">
        <v>2459</v>
      </c>
      <c r="E1869" s="179"/>
      <c r="F1869" s="179"/>
      <c r="G1869" s="179"/>
      <c r="H1869" s="179"/>
      <c r="I1869" s="179"/>
      <c r="J1869" s="179"/>
      <c r="K1869" s="179"/>
      <c r="L1869" s="179"/>
      <c r="M1869" s="179"/>
      <c r="N1869" s="179"/>
      <c r="O1869" s="179"/>
      <c r="P1869" s="179"/>
    </row>
    <row r="1870" spans="1:76" s="81" customFormat="1" ht="25.5" x14ac:dyDescent="0.25">
      <c r="A1870" s="66" t="s">
        <v>2469</v>
      </c>
      <c r="B1870" s="72" t="s">
        <v>55</v>
      </c>
      <c r="C1870" s="72" t="s">
        <v>2467</v>
      </c>
      <c r="D1870" s="174" t="s">
        <v>2468</v>
      </c>
      <c r="E1870" s="174"/>
      <c r="F1870" s="72" t="s">
        <v>203</v>
      </c>
      <c r="G1870" s="90">
        <v>5</v>
      </c>
      <c r="H1870" s="91"/>
      <c r="I1870" s="92" t="s">
        <v>63</v>
      </c>
      <c r="J1870" s="90">
        <f>G1870*AO1870</f>
        <v>0</v>
      </c>
      <c r="K1870" s="90">
        <f>G1870*AP1870</f>
        <v>0</v>
      </c>
      <c r="L1870" s="90">
        <f>G1870*H1870</f>
        <v>0</v>
      </c>
      <c r="M1870" s="90">
        <f>L1870*(1+BW1870/100)</f>
        <v>0</v>
      </c>
      <c r="N1870" s="90">
        <v>2.5000000000000001E-2</v>
      </c>
      <c r="O1870" s="90">
        <f>G1870*N1870</f>
        <v>0.125</v>
      </c>
      <c r="P1870" s="92" t="s">
        <v>578</v>
      </c>
      <c r="Z1870" s="93">
        <f>IF(AQ1870="5",BJ1870,0)</f>
        <v>0</v>
      </c>
      <c r="AB1870" s="93">
        <f>IF(AQ1870="1",BH1870,0)</f>
        <v>0</v>
      </c>
      <c r="AC1870" s="93">
        <f>IF(AQ1870="1",BI1870,0)</f>
        <v>0</v>
      </c>
      <c r="AD1870" s="93">
        <f>IF(AQ1870="7",BH1870,0)</f>
        <v>0</v>
      </c>
      <c r="AE1870" s="93">
        <f>IF(AQ1870="7",BI1870,0)</f>
        <v>0</v>
      </c>
      <c r="AF1870" s="93">
        <f>IF(AQ1870="2",BH1870,0)</f>
        <v>0</v>
      </c>
      <c r="AG1870" s="93">
        <f>IF(AQ1870="2",BI1870,0)</f>
        <v>0</v>
      </c>
      <c r="AH1870" s="93">
        <f>IF(AQ1870="0",BJ1870,0)</f>
        <v>0</v>
      </c>
      <c r="AI1870" s="88" t="s">
        <v>55</v>
      </c>
      <c r="AJ1870" s="93">
        <f>IF(AN1870=0,L1870,0)</f>
        <v>0</v>
      </c>
      <c r="AK1870" s="93">
        <f>IF(AN1870=12,L1870,0)</f>
        <v>0</v>
      </c>
      <c r="AL1870" s="93">
        <f>IF(AN1870=21,L1870,0)</f>
        <v>0</v>
      </c>
      <c r="AN1870" s="93">
        <v>21</v>
      </c>
      <c r="AO1870" s="93">
        <f>H1870*0.82</f>
        <v>0</v>
      </c>
      <c r="AP1870" s="93">
        <f>H1870*(1-0.82)</f>
        <v>0</v>
      </c>
      <c r="AQ1870" s="94" t="s">
        <v>148</v>
      </c>
      <c r="AV1870" s="93">
        <f>AW1870+AX1870</f>
        <v>0</v>
      </c>
      <c r="AW1870" s="93">
        <f>G1870*AO1870</f>
        <v>0</v>
      </c>
      <c r="AX1870" s="93">
        <f>G1870*AP1870</f>
        <v>0</v>
      </c>
      <c r="AY1870" s="94" t="s">
        <v>2323</v>
      </c>
      <c r="AZ1870" s="94" t="s">
        <v>2247</v>
      </c>
      <c r="BA1870" s="88" t="s">
        <v>67</v>
      </c>
      <c r="BC1870" s="93">
        <f>AW1870+AX1870</f>
        <v>0</v>
      </c>
      <c r="BD1870" s="93">
        <f>H1870/(100-BE1870)*100</f>
        <v>0</v>
      </c>
      <c r="BE1870" s="93">
        <v>0</v>
      </c>
      <c r="BF1870" s="93">
        <f>O1870</f>
        <v>0.125</v>
      </c>
      <c r="BH1870" s="93">
        <f>G1870*AO1870</f>
        <v>0</v>
      </c>
      <c r="BI1870" s="93">
        <f>G1870*AP1870</f>
        <v>0</v>
      </c>
      <c r="BJ1870" s="93">
        <f>G1870*H1870</f>
        <v>0</v>
      </c>
      <c r="BK1870" s="93"/>
      <c r="BL1870" s="93">
        <v>766</v>
      </c>
      <c r="BW1870" s="93" t="str">
        <f>I1870</f>
        <v>21</v>
      </c>
      <c r="BX1870" s="2" t="s">
        <v>2468</v>
      </c>
    </row>
    <row r="1871" spans="1:76" s="81" customFormat="1" ht="13.5" customHeight="1" x14ac:dyDescent="0.25">
      <c r="A1871" s="110"/>
      <c r="B1871" s="95"/>
      <c r="C1871" s="95"/>
      <c r="D1871" s="179" t="s">
        <v>2459</v>
      </c>
      <c r="E1871" s="179"/>
      <c r="F1871" s="179"/>
      <c r="G1871" s="179"/>
      <c r="H1871" s="179"/>
      <c r="I1871" s="179"/>
      <c r="J1871" s="179"/>
      <c r="K1871" s="179"/>
      <c r="L1871" s="179"/>
      <c r="M1871" s="179"/>
      <c r="N1871" s="179"/>
      <c r="O1871" s="179"/>
      <c r="P1871" s="179"/>
    </row>
    <row r="1872" spans="1:76" s="81" customFormat="1" ht="25.5" x14ac:dyDescent="0.25">
      <c r="A1872" s="66" t="s">
        <v>2472</v>
      </c>
      <c r="B1872" s="72" t="s">
        <v>55</v>
      </c>
      <c r="C1872" s="72" t="s">
        <v>2470</v>
      </c>
      <c r="D1872" s="174" t="s">
        <v>2471</v>
      </c>
      <c r="E1872" s="174"/>
      <c r="F1872" s="72" t="s">
        <v>203</v>
      </c>
      <c r="G1872" s="90">
        <v>6</v>
      </c>
      <c r="H1872" s="91"/>
      <c r="I1872" s="92" t="s">
        <v>63</v>
      </c>
      <c r="J1872" s="90">
        <f>G1872*AO1872</f>
        <v>0</v>
      </c>
      <c r="K1872" s="90">
        <f>G1872*AP1872</f>
        <v>0</v>
      </c>
      <c r="L1872" s="90">
        <f>G1872*H1872</f>
        <v>0</v>
      </c>
      <c r="M1872" s="90">
        <f>L1872*(1+BW1872/100)</f>
        <v>0</v>
      </c>
      <c r="N1872" s="90">
        <v>2.5000000000000001E-2</v>
      </c>
      <c r="O1872" s="90">
        <f>G1872*N1872</f>
        <v>0.15000000000000002</v>
      </c>
      <c r="P1872" s="92" t="s">
        <v>578</v>
      </c>
      <c r="Z1872" s="93">
        <f>IF(AQ1872="5",BJ1872,0)</f>
        <v>0</v>
      </c>
      <c r="AB1872" s="93">
        <f>IF(AQ1872="1",BH1872,0)</f>
        <v>0</v>
      </c>
      <c r="AC1872" s="93">
        <f>IF(AQ1872="1",BI1872,0)</f>
        <v>0</v>
      </c>
      <c r="AD1872" s="93">
        <f>IF(AQ1872="7",BH1872,0)</f>
        <v>0</v>
      </c>
      <c r="AE1872" s="93">
        <f>IF(AQ1872="7",BI1872,0)</f>
        <v>0</v>
      </c>
      <c r="AF1872" s="93">
        <f>IF(AQ1872="2",BH1872,0)</f>
        <v>0</v>
      </c>
      <c r="AG1872" s="93">
        <f>IF(AQ1872="2",BI1872,0)</f>
        <v>0</v>
      </c>
      <c r="AH1872" s="93">
        <f>IF(AQ1872="0",BJ1872,0)</f>
        <v>0</v>
      </c>
      <c r="AI1872" s="88" t="s">
        <v>55</v>
      </c>
      <c r="AJ1872" s="93">
        <f>IF(AN1872=0,L1872,0)</f>
        <v>0</v>
      </c>
      <c r="AK1872" s="93">
        <f>IF(AN1872=12,L1872,0)</f>
        <v>0</v>
      </c>
      <c r="AL1872" s="93">
        <f>IF(AN1872=21,L1872,0)</f>
        <v>0</v>
      </c>
      <c r="AN1872" s="93">
        <v>21</v>
      </c>
      <c r="AO1872" s="93">
        <f>H1872*0.805</f>
        <v>0</v>
      </c>
      <c r="AP1872" s="93">
        <f>H1872*(1-0.805)</f>
        <v>0</v>
      </c>
      <c r="AQ1872" s="94" t="s">
        <v>148</v>
      </c>
      <c r="AV1872" s="93">
        <f>AW1872+AX1872</f>
        <v>0</v>
      </c>
      <c r="AW1872" s="93">
        <f>G1872*AO1872</f>
        <v>0</v>
      </c>
      <c r="AX1872" s="93">
        <f>G1872*AP1872</f>
        <v>0</v>
      </c>
      <c r="AY1872" s="94" t="s">
        <v>2323</v>
      </c>
      <c r="AZ1872" s="94" t="s">
        <v>2247</v>
      </c>
      <c r="BA1872" s="88" t="s">
        <v>67</v>
      </c>
      <c r="BC1872" s="93">
        <f>AW1872+AX1872</f>
        <v>0</v>
      </c>
      <c r="BD1872" s="93">
        <f>H1872/(100-BE1872)*100</f>
        <v>0</v>
      </c>
      <c r="BE1872" s="93">
        <v>0</v>
      </c>
      <c r="BF1872" s="93">
        <f>O1872</f>
        <v>0.15000000000000002</v>
      </c>
      <c r="BH1872" s="93">
        <f>G1872*AO1872</f>
        <v>0</v>
      </c>
      <c r="BI1872" s="93">
        <f>G1872*AP1872</f>
        <v>0</v>
      </c>
      <c r="BJ1872" s="93">
        <f>G1872*H1872</f>
        <v>0</v>
      </c>
      <c r="BK1872" s="93"/>
      <c r="BL1872" s="93">
        <v>766</v>
      </c>
      <c r="BW1872" s="93" t="str">
        <f>I1872</f>
        <v>21</v>
      </c>
      <c r="BX1872" s="2" t="s">
        <v>2471</v>
      </c>
    </row>
    <row r="1873" spans="1:76" s="81" customFormat="1" ht="13.5" customHeight="1" x14ac:dyDescent="0.25">
      <c r="A1873" s="110"/>
      <c r="B1873" s="95"/>
      <c r="C1873" s="95"/>
      <c r="D1873" s="179" t="s">
        <v>2459</v>
      </c>
      <c r="E1873" s="179"/>
      <c r="F1873" s="179"/>
      <c r="G1873" s="179"/>
      <c r="H1873" s="179"/>
      <c r="I1873" s="179"/>
      <c r="J1873" s="179"/>
      <c r="K1873" s="179"/>
      <c r="L1873" s="179"/>
      <c r="M1873" s="179"/>
      <c r="N1873" s="179"/>
      <c r="O1873" s="179"/>
      <c r="P1873" s="179"/>
    </row>
    <row r="1874" spans="1:76" s="81" customFormat="1" ht="25.5" x14ac:dyDescent="0.25">
      <c r="A1874" s="66" t="s">
        <v>2475</v>
      </c>
      <c r="B1874" s="72" t="s">
        <v>55</v>
      </c>
      <c r="C1874" s="72" t="s">
        <v>2473</v>
      </c>
      <c r="D1874" s="174" t="s">
        <v>2474</v>
      </c>
      <c r="E1874" s="174"/>
      <c r="F1874" s="72" t="s">
        <v>203</v>
      </c>
      <c r="G1874" s="90">
        <v>1</v>
      </c>
      <c r="H1874" s="91"/>
      <c r="I1874" s="92" t="s">
        <v>63</v>
      </c>
      <c r="J1874" s="90">
        <f>G1874*AO1874</f>
        <v>0</v>
      </c>
      <c r="K1874" s="90">
        <f>G1874*AP1874</f>
        <v>0</v>
      </c>
      <c r="L1874" s="90">
        <f>G1874*H1874</f>
        <v>0</v>
      </c>
      <c r="M1874" s="90">
        <f>L1874*(1+BW1874/100)</f>
        <v>0</v>
      </c>
      <c r="N1874" s="90">
        <v>2.5000000000000001E-2</v>
      </c>
      <c r="O1874" s="90">
        <f>G1874*N1874</f>
        <v>2.5000000000000001E-2</v>
      </c>
      <c r="P1874" s="92" t="s">
        <v>578</v>
      </c>
      <c r="Z1874" s="93">
        <f>IF(AQ1874="5",BJ1874,0)</f>
        <v>0</v>
      </c>
      <c r="AB1874" s="93">
        <f>IF(AQ1874="1",BH1874,0)</f>
        <v>0</v>
      </c>
      <c r="AC1874" s="93">
        <f>IF(AQ1874="1",BI1874,0)</f>
        <v>0</v>
      </c>
      <c r="AD1874" s="93">
        <f>IF(AQ1874="7",BH1874,0)</f>
        <v>0</v>
      </c>
      <c r="AE1874" s="93">
        <f>IF(AQ1874="7",BI1874,0)</f>
        <v>0</v>
      </c>
      <c r="AF1874" s="93">
        <f>IF(AQ1874="2",BH1874,0)</f>
        <v>0</v>
      </c>
      <c r="AG1874" s="93">
        <f>IF(AQ1874="2",BI1874,0)</f>
        <v>0</v>
      </c>
      <c r="AH1874" s="93">
        <f>IF(AQ1874="0",BJ1874,0)</f>
        <v>0</v>
      </c>
      <c r="AI1874" s="88" t="s">
        <v>55</v>
      </c>
      <c r="AJ1874" s="93">
        <f>IF(AN1874=0,L1874,0)</f>
        <v>0</v>
      </c>
      <c r="AK1874" s="93">
        <f>IF(AN1874=12,L1874,0)</f>
        <v>0</v>
      </c>
      <c r="AL1874" s="93">
        <f>IF(AN1874=21,L1874,0)</f>
        <v>0</v>
      </c>
      <c r="AN1874" s="93">
        <v>21</v>
      </c>
      <c r="AO1874" s="93">
        <f>H1874*0.8</f>
        <v>0</v>
      </c>
      <c r="AP1874" s="93">
        <f>H1874*(1-0.8)</f>
        <v>0</v>
      </c>
      <c r="AQ1874" s="94" t="s">
        <v>148</v>
      </c>
      <c r="AV1874" s="93">
        <f>AW1874+AX1874</f>
        <v>0</v>
      </c>
      <c r="AW1874" s="93">
        <f>G1874*AO1874</f>
        <v>0</v>
      </c>
      <c r="AX1874" s="93">
        <f>G1874*AP1874</f>
        <v>0</v>
      </c>
      <c r="AY1874" s="94" t="s">
        <v>2323</v>
      </c>
      <c r="AZ1874" s="94" t="s">
        <v>2247</v>
      </c>
      <c r="BA1874" s="88" t="s">
        <v>67</v>
      </c>
      <c r="BC1874" s="93">
        <f>AW1874+AX1874</f>
        <v>0</v>
      </c>
      <c r="BD1874" s="93">
        <f>H1874/(100-BE1874)*100</f>
        <v>0</v>
      </c>
      <c r="BE1874" s="93">
        <v>0</v>
      </c>
      <c r="BF1874" s="93">
        <f>O1874</f>
        <v>2.5000000000000001E-2</v>
      </c>
      <c r="BH1874" s="93">
        <f>G1874*AO1874</f>
        <v>0</v>
      </c>
      <c r="BI1874" s="93">
        <f>G1874*AP1874</f>
        <v>0</v>
      </c>
      <c r="BJ1874" s="93">
        <f>G1874*H1874</f>
        <v>0</v>
      </c>
      <c r="BK1874" s="93"/>
      <c r="BL1874" s="93">
        <v>766</v>
      </c>
      <c r="BW1874" s="93" t="str">
        <f>I1874</f>
        <v>21</v>
      </c>
      <c r="BX1874" s="2" t="s">
        <v>2474</v>
      </c>
    </row>
    <row r="1875" spans="1:76" s="81" customFormat="1" ht="13.5" customHeight="1" x14ac:dyDescent="0.25">
      <c r="A1875" s="110"/>
      <c r="B1875" s="95"/>
      <c r="C1875" s="95"/>
      <c r="D1875" s="179" t="s">
        <v>2459</v>
      </c>
      <c r="E1875" s="179"/>
      <c r="F1875" s="179"/>
      <c r="G1875" s="179"/>
      <c r="H1875" s="179"/>
      <c r="I1875" s="179"/>
      <c r="J1875" s="179"/>
      <c r="K1875" s="179"/>
      <c r="L1875" s="179"/>
      <c r="M1875" s="179"/>
      <c r="N1875" s="179"/>
      <c r="O1875" s="179"/>
      <c r="P1875" s="179"/>
    </row>
    <row r="1876" spans="1:76" s="81" customFormat="1" ht="25.5" x14ac:dyDescent="0.25">
      <c r="A1876" s="66" t="s">
        <v>2478</v>
      </c>
      <c r="B1876" s="72" t="s">
        <v>55</v>
      </c>
      <c r="C1876" s="72" t="s">
        <v>2476</v>
      </c>
      <c r="D1876" s="174" t="s">
        <v>2477</v>
      </c>
      <c r="E1876" s="174"/>
      <c r="F1876" s="72" t="s">
        <v>203</v>
      </c>
      <c r="G1876" s="90">
        <v>1</v>
      </c>
      <c r="H1876" s="91"/>
      <c r="I1876" s="92" t="s">
        <v>63</v>
      </c>
      <c r="J1876" s="90">
        <f>G1876*AO1876</f>
        <v>0</v>
      </c>
      <c r="K1876" s="90">
        <f>G1876*AP1876</f>
        <v>0</v>
      </c>
      <c r="L1876" s="90">
        <f>G1876*H1876</f>
        <v>0</v>
      </c>
      <c r="M1876" s="90">
        <f>L1876*(1+BW1876/100)</f>
        <v>0</v>
      </c>
      <c r="N1876" s="90">
        <v>2.5000000000000001E-2</v>
      </c>
      <c r="O1876" s="90">
        <f>G1876*N1876</f>
        <v>2.5000000000000001E-2</v>
      </c>
      <c r="P1876" s="92" t="s">
        <v>578</v>
      </c>
      <c r="Z1876" s="93">
        <f>IF(AQ1876="5",BJ1876,0)</f>
        <v>0</v>
      </c>
      <c r="AB1876" s="93">
        <f>IF(AQ1876="1",BH1876,0)</f>
        <v>0</v>
      </c>
      <c r="AC1876" s="93">
        <f>IF(AQ1876="1",BI1876,0)</f>
        <v>0</v>
      </c>
      <c r="AD1876" s="93">
        <f>IF(AQ1876="7",BH1876,0)</f>
        <v>0</v>
      </c>
      <c r="AE1876" s="93">
        <f>IF(AQ1876="7",BI1876,0)</f>
        <v>0</v>
      </c>
      <c r="AF1876" s="93">
        <f>IF(AQ1876="2",BH1876,0)</f>
        <v>0</v>
      </c>
      <c r="AG1876" s="93">
        <f>IF(AQ1876="2",BI1876,0)</f>
        <v>0</v>
      </c>
      <c r="AH1876" s="93">
        <f>IF(AQ1876="0",BJ1876,0)</f>
        <v>0</v>
      </c>
      <c r="AI1876" s="88" t="s">
        <v>55</v>
      </c>
      <c r="AJ1876" s="93">
        <f>IF(AN1876=0,L1876,0)</f>
        <v>0</v>
      </c>
      <c r="AK1876" s="93">
        <f>IF(AN1876=12,L1876,0)</f>
        <v>0</v>
      </c>
      <c r="AL1876" s="93">
        <f>IF(AN1876=21,L1876,0)</f>
        <v>0</v>
      </c>
      <c r="AN1876" s="93">
        <v>21</v>
      </c>
      <c r="AO1876" s="93">
        <f>H1876*0.7969</f>
        <v>0</v>
      </c>
      <c r="AP1876" s="93">
        <f>H1876*(1-0.7969)</f>
        <v>0</v>
      </c>
      <c r="AQ1876" s="94" t="s">
        <v>148</v>
      </c>
      <c r="AV1876" s="93">
        <f>AW1876+AX1876</f>
        <v>0</v>
      </c>
      <c r="AW1876" s="93">
        <f>G1876*AO1876</f>
        <v>0</v>
      </c>
      <c r="AX1876" s="93">
        <f>G1876*AP1876</f>
        <v>0</v>
      </c>
      <c r="AY1876" s="94" t="s">
        <v>2323</v>
      </c>
      <c r="AZ1876" s="94" t="s">
        <v>2247</v>
      </c>
      <c r="BA1876" s="88" t="s">
        <v>67</v>
      </c>
      <c r="BC1876" s="93">
        <f>AW1876+AX1876</f>
        <v>0</v>
      </c>
      <c r="BD1876" s="93">
        <f>H1876/(100-BE1876)*100</f>
        <v>0</v>
      </c>
      <c r="BE1876" s="93">
        <v>0</v>
      </c>
      <c r="BF1876" s="93">
        <f>O1876</f>
        <v>2.5000000000000001E-2</v>
      </c>
      <c r="BH1876" s="93">
        <f>G1876*AO1876</f>
        <v>0</v>
      </c>
      <c r="BI1876" s="93">
        <f>G1876*AP1876</f>
        <v>0</v>
      </c>
      <c r="BJ1876" s="93">
        <f>G1876*H1876</f>
        <v>0</v>
      </c>
      <c r="BK1876" s="93"/>
      <c r="BL1876" s="93">
        <v>766</v>
      </c>
      <c r="BW1876" s="93" t="str">
        <f>I1876</f>
        <v>21</v>
      </c>
      <c r="BX1876" s="2" t="s">
        <v>2477</v>
      </c>
    </row>
    <row r="1877" spans="1:76" s="81" customFormat="1" ht="13.5" customHeight="1" x14ac:dyDescent="0.25">
      <c r="A1877" s="110"/>
      <c r="B1877" s="95"/>
      <c r="C1877" s="95"/>
      <c r="D1877" s="179" t="s">
        <v>2459</v>
      </c>
      <c r="E1877" s="179"/>
      <c r="F1877" s="179"/>
      <c r="G1877" s="179"/>
      <c r="H1877" s="179"/>
      <c r="I1877" s="179"/>
      <c r="J1877" s="179"/>
      <c r="K1877" s="179"/>
      <c r="L1877" s="179"/>
      <c r="M1877" s="179"/>
      <c r="N1877" s="179"/>
      <c r="O1877" s="179"/>
      <c r="P1877" s="179"/>
    </row>
    <row r="1878" spans="1:76" s="81" customFormat="1" ht="25.5" x14ac:dyDescent="0.25">
      <c r="A1878" s="66" t="s">
        <v>2481</v>
      </c>
      <c r="B1878" s="72" t="s">
        <v>55</v>
      </c>
      <c r="C1878" s="72" t="s">
        <v>2479</v>
      </c>
      <c r="D1878" s="174" t="s">
        <v>2480</v>
      </c>
      <c r="E1878" s="174"/>
      <c r="F1878" s="72" t="s">
        <v>203</v>
      </c>
      <c r="G1878" s="90">
        <v>2</v>
      </c>
      <c r="H1878" s="91"/>
      <c r="I1878" s="92" t="s">
        <v>63</v>
      </c>
      <c r="J1878" s="90">
        <f>G1878*AO1878</f>
        <v>0</v>
      </c>
      <c r="K1878" s="90">
        <f>G1878*AP1878</f>
        <v>0</v>
      </c>
      <c r="L1878" s="90">
        <f>G1878*H1878</f>
        <v>0</v>
      </c>
      <c r="M1878" s="90">
        <f>L1878*(1+BW1878/100)</f>
        <v>0</v>
      </c>
      <c r="N1878" s="90">
        <v>2.5000000000000001E-2</v>
      </c>
      <c r="O1878" s="90">
        <f>G1878*N1878</f>
        <v>0.05</v>
      </c>
      <c r="P1878" s="92" t="s">
        <v>578</v>
      </c>
      <c r="Z1878" s="93">
        <f>IF(AQ1878="5",BJ1878,0)</f>
        <v>0</v>
      </c>
      <c r="AB1878" s="93">
        <f>IF(AQ1878="1",BH1878,0)</f>
        <v>0</v>
      </c>
      <c r="AC1878" s="93">
        <f>IF(AQ1878="1",BI1878,0)</f>
        <v>0</v>
      </c>
      <c r="AD1878" s="93">
        <f>IF(AQ1878="7",BH1878,0)</f>
        <v>0</v>
      </c>
      <c r="AE1878" s="93">
        <f>IF(AQ1878="7",BI1878,0)</f>
        <v>0</v>
      </c>
      <c r="AF1878" s="93">
        <f>IF(AQ1878="2",BH1878,0)</f>
        <v>0</v>
      </c>
      <c r="AG1878" s="93">
        <f>IF(AQ1878="2",BI1878,0)</f>
        <v>0</v>
      </c>
      <c r="AH1878" s="93">
        <f>IF(AQ1878="0",BJ1878,0)</f>
        <v>0</v>
      </c>
      <c r="AI1878" s="88" t="s">
        <v>55</v>
      </c>
      <c r="AJ1878" s="93">
        <f>IF(AN1878=0,L1878,0)</f>
        <v>0</v>
      </c>
      <c r="AK1878" s="93">
        <f>IF(AN1878=12,L1878,0)</f>
        <v>0</v>
      </c>
      <c r="AL1878" s="93">
        <f>IF(AN1878=21,L1878,0)</f>
        <v>0</v>
      </c>
      <c r="AN1878" s="93">
        <v>21</v>
      </c>
      <c r="AO1878" s="93">
        <f>H1878*0.7913</f>
        <v>0</v>
      </c>
      <c r="AP1878" s="93">
        <f>H1878*(1-0.7913)</f>
        <v>0</v>
      </c>
      <c r="AQ1878" s="94" t="s">
        <v>148</v>
      </c>
      <c r="AV1878" s="93">
        <f>AW1878+AX1878</f>
        <v>0</v>
      </c>
      <c r="AW1878" s="93">
        <f>G1878*AO1878</f>
        <v>0</v>
      </c>
      <c r="AX1878" s="93">
        <f>G1878*AP1878</f>
        <v>0</v>
      </c>
      <c r="AY1878" s="94" t="s">
        <v>2323</v>
      </c>
      <c r="AZ1878" s="94" t="s">
        <v>2247</v>
      </c>
      <c r="BA1878" s="88" t="s">
        <v>67</v>
      </c>
      <c r="BC1878" s="93">
        <f>AW1878+AX1878</f>
        <v>0</v>
      </c>
      <c r="BD1878" s="93">
        <f>H1878/(100-BE1878)*100</f>
        <v>0</v>
      </c>
      <c r="BE1878" s="93">
        <v>0</v>
      </c>
      <c r="BF1878" s="93">
        <f>O1878</f>
        <v>0.05</v>
      </c>
      <c r="BH1878" s="93">
        <f>G1878*AO1878</f>
        <v>0</v>
      </c>
      <c r="BI1878" s="93">
        <f>G1878*AP1878</f>
        <v>0</v>
      </c>
      <c r="BJ1878" s="93">
        <f>G1878*H1878</f>
        <v>0</v>
      </c>
      <c r="BK1878" s="93"/>
      <c r="BL1878" s="93">
        <v>766</v>
      </c>
      <c r="BW1878" s="93" t="str">
        <f>I1878</f>
        <v>21</v>
      </c>
      <c r="BX1878" s="2" t="s">
        <v>2480</v>
      </c>
    </row>
    <row r="1879" spans="1:76" s="81" customFormat="1" ht="13.5" customHeight="1" x14ac:dyDescent="0.25">
      <c r="A1879" s="110"/>
      <c r="B1879" s="95"/>
      <c r="C1879" s="95"/>
      <c r="D1879" s="179" t="s">
        <v>2459</v>
      </c>
      <c r="E1879" s="179"/>
      <c r="F1879" s="179"/>
      <c r="G1879" s="179"/>
      <c r="H1879" s="179"/>
      <c r="I1879" s="179"/>
      <c r="J1879" s="179"/>
      <c r="K1879" s="179"/>
      <c r="L1879" s="179"/>
      <c r="M1879" s="179"/>
      <c r="N1879" s="179"/>
      <c r="O1879" s="179"/>
      <c r="P1879" s="179"/>
    </row>
    <row r="1880" spans="1:76" s="81" customFormat="1" ht="25.5" x14ac:dyDescent="0.25">
      <c r="A1880" s="66" t="s">
        <v>2484</v>
      </c>
      <c r="B1880" s="72" t="s">
        <v>55</v>
      </c>
      <c r="C1880" s="72" t="s">
        <v>2482</v>
      </c>
      <c r="D1880" s="174" t="s">
        <v>2483</v>
      </c>
      <c r="E1880" s="174"/>
      <c r="F1880" s="72" t="s">
        <v>203</v>
      </c>
      <c r="G1880" s="90">
        <v>4</v>
      </c>
      <c r="H1880" s="91"/>
      <c r="I1880" s="92" t="s">
        <v>63</v>
      </c>
      <c r="J1880" s="90">
        <f>G1880*AO1880</f>
        <v>0</v>
      </c>
      <c r="K1880" s="90">
        <f>G1880*AP1880</f>
        <v>0</v>
      </c>
      <c r="L1880" s="90">
        <f>G1880*H1880</f>
        <v>0</v>
      </c>
      <c r="M1880" s="90">
        <f>L1880*(1+BW1880/100)</f>
        <v>0</v>
      </c>
      <c r="N1880" s="90">
        <v>2.5000000000000001E-2</v>
      </c>
      <c r="O1880" s="90">
        <f>G1880*N1880</f>
        <v>0.1</v>
      </c>
      <c r="P1880" s="92" t="s">
        <v>578</v>
      </c>
      <c r="Z1880" s="93">
        <f>IF(AQ1880="5",BJ1880,0)</f>
        <v>0</v>
      </c>
      <c r="AB1880" s="93">
        <f>IF(AQ1880="1",BH1880,0)</f>
        <v>0</v>
      </c>
      <c r="AC1880" s="93">
        <f>IF(AQ1880="1",BI1880,0)</f>
        <v>0</v>
      </c>
      <c r="AD1880" s="93">
        <f>IF(AQ1880="7",BH1880,0)</f>
        <v>0</v>
      </c>
      <c r="AE1880" s="93">
        <f>IF(AQ1880="7",BI1880,0)</f>
        <v>0</v>
      </c>
      <c r="AF1880" s="93">
        <f>IF(AQ1880="2",BH1880,0)</f>
        <v>0</v>
      </c>
      <c r="AG1880" s="93">
        <f>IF(AQ1880="2",BI1880,0)</f>
        <v>0</v>
      </c>
      <c r="AH1880" s="93">
        <f>IF(AQ1880="0",BJ1880,0)</f>
        <v>0</v>
      </c>
      <c r="AI1880" s="88" t="s">
        <v>55</v>
      </c>
      <c r="AJ1880" s="93">
        <f>IF(AN1880=0,L1880,0)</f>
        <v>0</v>
      </c>
      <c r="AK1880" s="93">
        <f>IF(AN1880=12,L1880,0)</f>
        <v>0</v>
      </c>
      <c r="AL1880" s="93">
        <f>IF(AN1880=21,L1880,0)</f>
        <v>0</v>
      </c>
      <c r="AN1880" s="93">
        <v>21</v>
      </c>
      <c r="AO1880" s="93">
        <f>H1880*0.7913</f>
        <v>0</v>
      </c>
      <c r="AP1880" s="93">
        <f>H1880*(1-0.7913)</f>
        <v>0</v>
      </c>
      <c r="AQ1880" s="94" t="s">
        <v>148</v>
      </c>
      <c r="AV1880" s="93">
        <f>AW1880+AX1880</f>
        <v>0</v>
      </c>
      <c r="AW1880" s="93">
        <f>G1880*AO1880</f>
        <v>0</v>
      </c>
      <c r="AX1880" s="93">
        <f>G1880*AP1880</f>
        <v>0</v>
      </c>
      <c r="AY1880" s="94" t="s">
        <v>2323</v>
      </c>
      <c r="AZ1880" s="94" t="s">
        <v>2247</v>
      </c>
      <c r="BA1880" s="88" t="s">
        <v>67</v>
      </c>
      <c r="BC1880" s="93">
        <f>AW1880+AX1880</f>
        <v>0</v>
      </c>
      <c r="BD1880" s="93">
        <f>H1880/(100-BE1880)*100</f>
        <v>0</v>
      </c>
      <c r="BE1880" s="93">
        <v>0</v>
      </c>
      <c r="BF1880" s="93">
        <f>O1880</f>
        <v>0.1</v>
      </c>
      <c r="BH1880" s="93">
        <f>G1880*AO1880</f>
        <v>0</v>
      </c>
      <c r="BI1880" s="93">
        <f>G1880*AP1880</f>
        <v>0</v>
      </c>
      <c r="BJ1880" s="93">
        <f>G1880*H1880</f>
        <v>0</v>
      </c>
      <c r="BK1880" s="93"/>
      <c r="BL1880" s="93">
        <v>766</v>
      </c>
      <c r="BW1880" s="93" t="str">
        <f>I1880</f>
        <v>21</v>
      </c>
      <c r="BX1880" s="2" t="s">
        <v>2483</v>
      </c>
    </row>
    <row r="1881" spans="1:76" s="81" customFormat="1" ht="13.5" customHeight="1" x14ac:dyDescent="0.25">
      <c r="A1881" s="110"/>
      <c r="B1881" s="95"/>
      <c r="C1881" s="95"/>
      <c r="D1881" s="179" t="s">
        <v>2459</v>
      </c>
      <c r="E1881" s="179"/>
      <c r="F1881" s="179"/>
      <c r="G1881" s="179"/>
      <c r="H1881" s="179"/>
      <c r="I1881" s="179"/>
      <c r="J1881" s="179"/>
      <c r="K1881" s="179"/>
      <c r="L1881" s="179"/>
      <c r="M1881" s="179"/>
      <c r="N1881" s="179"/>
      <c r="O1881" s="179"/>
      <c r="P1881" s="179"/>
    </row>
    <row r="1882" spans="1:76" s="81" customFormat="1" ht="25.5" x14ac:dyDescent="0.25">
      <c r="A1882" s="66" t="s">
        <v>2487</v>
      </c>
      <c r="B1882" s="72" t="s">
        <v>55</v>
      </c>
      <c r="C1882" s="72" t="s">
        <v>2485</v>
      </c>
      <c r="D1882" s="174" t="s">
        <v>2486</v>
      </c>
      <c r="E1882" s="174"/>
      <c r="F1882" s="72" t="s">
        <v>203</v>
      </c>
      <c r="G1882" s="90">
        <v>4</v>
      </c>
      <c r="H1882" s="91"/>
      <c r="I1882" s="92" t="s">
        <v>63</v>
      </c>
      <c r="J1882" s="90">
        <f>G1882*AO1882</f>
        <v>0</v>
      </c>
      <c r="K1882" s="90">
        <f>G1882*AP1882</f>
        <v>0</v>
      </c>
      <c r="L1882" s="90">
        <f>G1882*H1882</f>
        <v>0</v>
      </c>
      <c r="M1882" s="90">
        <f>L1882*(1+BW1882/100)</f>
        <v>0</v>
      </c>
      <c r="N1882" s="90">
        <v>2.5000000000000001E-2</v>
      </c>
      <c r="O1882" s="90">
        <f>G1882*N1882</f>
        <v>0.1</v>
      </c>
      <c r="P1882" s="92" t="s">
        <v>578</v>
      </c>
      <c r="Z1882" s="93">
        <f>IF(AQ1882="5",BJ1882,0)</f>
        <v>0</v>
      </c>
      <c r="AB1882" s="93">
        <f>IF(AQ1882="1",BH1882,0)</f>
        <v>0</v>
      </c>
      <c r="AC1882" s="93">
        <f>IF(AQ1882="1",BI1882,0)</f>
        <v>0</v>
      </c>
      <c r="AD1882" s="93">
        <f>IF(AQ1882="7",BH1882,0)</f>
        <v>0</v>
      </c>
      <c r="AE1882" s="93">
        <f>IF(AQ1882="7",BI1882,0)</f>
        <v>0</v>
      </c>
      <c r="AF1882" s="93">
        <f>IF(AQ1882="2",BH1882,0)</f>
        <v>0</v>
      </c>
      <c r="AG1882" s="93">
        <f>IF(AQ1882="2",BI1882,0)</f>
        <v>0</v>
      </c>
      <c r="AH1882" s="93">
        <f>IF(AQ1882="0",BJ1882,0)</f>
        <v>0</v>
      </c>
      <c r="AI1882" s="88" t="s">
        <v>55</v>
      </c>
      <c r="AJ1882" s="93">
        <f>IF(AN1882=0,L1882,0)</f>
        <v>0</v>
      </c>
      <c r="AK1882" s="93">
        <f>IF(AN1882=12,L1882,0)</f>
        <v>0</v>
      </c>
      <c r="AL1882" s="93">
        <f>IF(AN1882=21,L1882,0)</f>
        <v>0</v>
      </c>
      <c r="AN1882" s="93">
        <v>21</v>
      </c>
      <c r="AO1882" s="93">
        <f>H1882*0.7969</f>
        <v>0</v>
      </c>
      <c r="AP1882" s="93">
        <f>H1882*(1-0.7969)</f>
        <v>0</v>
      </c>
      <c r="AQ1882" s="94" t="s">
        <v>148</v>
      </c>
      <c r="AV1882" s="93">
        <f>AW1882+AX1882</f>
        <v>0</v>
      </c>
      <c r="AW1882" s="93">
        <f>G1882*AO1882</f>
        <v>0</v>
      </c>
      <c r="AX1882" s="93">
        <f>G1882*AP1882</f>
        <v>0</v>
      </c>
      <c r="AY1882" s="94" t="s">
        <v>2323</v>
      </c>
      <c r="AZ1882" s="94" t="s">
        <v>2247</v>
      </c>
      <c r="BA1882" s="88" t="s">
        <v>67</v>
      </c>
      <c r="BC1882" s="93">
        <f>AW1882+AX1882</f>
        <v>0</v>
      </c>
      <c r="BD1882" s="93">
        <f>H1882/(100-BE1882)*100</f>
        <v>0</v>
      </c>
      <c r="BE1882" s="93">
        <v>0</v>
      </c>
      <c r="BF1882" s="93">
        <f>O1882</f>
        <v>0.1</v>
      </c>
      <c r="BH1882" s="93">
        <f>G1882*AO1882</f>
        <v>0</v>
      </c>
      <c r="BI1882" s="93">
        <f>G1882*AP1882</f>
        <v>0</v>
      </c>
      <c r="BJ1882" s="93">
        <f>G1882*H1882</f>
        <v>0</v>
      </c>
      <c r="BK1882" s="93"/>
      <c r="BL1882" s="93">
        <v>766</v>
      </c>
      <c r="BW1882" s="93" t="str">
        <f>I1882</f>
        <v>21</v>
      </c>
      <c r="BX1882" s="2" t="s">
        <v>2486</v>
      </c>
    </row>
    <row r="1883" spans="1:76" s="81" customFormat="1" ht="13.5" customHeight="1" x14ac:dyDescent="0.25">
      <c r="A1883" s="110"/>
      <c r="B1883" s="95"/>
      <c r="C1883" s="95"/>
      <c r="D1883" s="179" t="s">
        <v>2459</v>
      </c>
      <c r="E1883" s="179"/>
      <c r="F1883" s="179"/>
      <c r="G1883" s="179"/>
      <c r="H1883" s="179"/>
      <c r="I1883" s="179"/>
      <c r="J1883" s="179"/>
      <c r="K1883" s="179"/>
      <c r="L1883" s="179"/>
      <c r="M1883" s="179"/>
      <c r="N1883" s="179"/>
      <c r="O1883" s="179"/>
      <c r="P1883" s="179"/>
    </row>
    <row r="1884" spans="1:76" s="81" customFormat="1" ht="25.5" x14ac:dyDescent="0.25">
      <c r="A1884" s="66" t="s">
        <v>2490</v>
      </c>
      <c r="B1884" s="72" t="s">
        <v>55</v>
      </c>
      <c r="C1884" s="72" t="s">
        <v>2488</v>
      </c>
      <c r="D1884" s="174" t="s">
        <v>2489</v>
      </c>
      <c r="E1884" s="174"/>
      <c r="F1884" s="72" t="s">
        <v>203</v>
      </c>
      <c r="G1884" s="90">
        <v>11</v>
      </c>
      <c r="H1884" s="91"/>
      <c r="I1884" s="92" t="s">
        <v>63</v>
      </c>
      <c r="J1884" s="90">
        <f>G1884*AO1884</f>
        <v>0</v>
      </c>
      <c r="K1884" s="90">
        <f>G1884*AP1884</f>
        <v>0</v>
      </c>
      <c r="L1884" s="90">
        <f>G1884*H1884</f>
        <v>0</v>
      </c>
      <c r="M1884" s="90">
        <f>L1884*(1+BW1884/100)</f>
        <v>0</v>
      </c>
      <c r="N1884" s="90">
        <v>2.5000000000000001E-2</v>
      </c>
      <c r="O1884" s="90">
        <f>G1884*N1884</f>
        <v>0.27500000000000002</v>
      </c>
      <c r="P1884" s="92" t="s">
        <v>578</v>
      </c>
      <c r="Z1884" s="93">
        <f>IF(AQ1884="5",BJ1884,0)</f>
        <v>0</v>
      </c>
      <c r="AB1884" s="93">
        <f>IF(AQ1884="1",BH1884,0)</f>
        <v>0</v>
      </c>
      <c r="AC1884" s="93">
        <f>IF(AQ1884="1",BI1884,0)</f>
        <v>0</v>
      </c>
      <c r="AD1884" s="93">
        <f>IF(AQ1884="7",BH1884,0)</f>
        <v>0</v>
      </c>
      <c r="AE1884" s="93">
        <f>IF(AQ1884="7",BI1884,0)</f>
        <v>0</v>
      </c>
      <c r="AF1884" s="93">
        <f>IF(AQ1884="2",BH1884,0)</f>
        <v>0</v>
      </c>
      <c r="AG1884" s="93">
        <f>IF(AQ1884="2",BI1884,0)</f>
        <v>0</v>
      </c>
      <c r="AH1884" s="93">
        <f>IF(AQ1884="0",BJ1884,0)</f>
        <v>0</v>
      </c>
      <c r="AI1884" s="88" t="s">
        <v>55</v>
      </c>
      <c r="AJ1884" s="93">
        <f>IF(AN1884=0,L1884,0)</f>
        <v>0</v>
      </c>
      <c r="AK1884" s="93">
        <f>IF(AN1884=12,L1884,0)</f>
        <v>0</v>
      </c>
      <c r="AL1884" s="93">
        <f>IF(AN1884=21,L1884,0)</f>
        <v>0</v>
      </c>
      <c r="AN1884" s="93">
        <v>21</v>
      </c>
      <c r="AO1884" s="93">
        <f>H1884*0.7913</f>
        <v>0</v>
      </c>
      <c r="AP1884" s="93">
        <f>H1884*(1-0.7913)</f>
        <v>0</v>
      </c>
      <c r="AQ1884" s="94" t="s">
        <v>148</v>
      </c>
      <c r="AV1884" s="93">
        <f>AW1884+AX1884</f>
        <v>0</v>
      </c>
      <c r="AW1884" s="93">
        <f>G1884*AO1884</f>
        <v>0</v>
      </c>
      <c r="AX1884" s="93">
        <f>G1884*AP1884</f>
        <v>0</v>
      </c>
      <c r="AY1884" s="94" t="s">
        <v>2323</v>
      </c>
      <c r="AZ1884" s="94" t="s">
        <v>2247</v>
      </c>
      <c r="BA1884" s="88" t="s">
        <v>67</v>
      </c>
      <c r="BC1884" s="93">
        <f>AW1884+AX1884</f>
        <v>0</v>
      </c>
      <c r="BD1884" s="93">
        <f>H1884/(100-BE1884)*100</f>
        <v>0</v>
      </c>
      <c r="BE1884" s="93">
        <v>0</v>
      </c>
      <c r="BF1884" s="93">
        <f>O1884</f>
        <v>0.27500000000000002</v>
      </c>
      <c r="BH1884" s="93">
        <f>G1884*AO1884</f>
        <v>0</v>
      </c>
      <c r="BI1884" s="93">
        <f>G1884*AP1884</f>
        <v>0</v>
      </c>
      <c r="BJ1884" s="93">
        <f>G1884*H1884</f>
        <v>0</v>
      </c>
      <c r="BK1884" s="93"/>
      <c r="BL1884" s="93">
        <v>766</v>
      </c>
      <c r="BW1884" s="93" t="str">
        <f>I1884</f>
        <v>21</v>
      </c>
      <c r="BX1884" s="2" t="s">
        <v>2489</v>
      </c>
    </row>
    <row r="1885" spans="1:76" s="81" customFormat="1" ht="13.5" customHeight="1" x14ac:dyDescent="0.25">
      <c r="A1885" s="110"/>
      <c r="B1885" s="95"/>
      <c r="C1885" s="95"/>
      <c r="D1885" s="179" t="s">
        <v>2459</v>
      </c>
      <c r="E1885" s="179"/>
      <c r="F1885" s="179"/>
      <c r="G1885" s="179"/>
      <c r="H1885" s="179"/>
      <c r="I1885" s="179"/>
      <c r="J1885" s="179"/>
      <c r="K1885" s="179"/>
      <c r="L1885" s="179"/>
      <c r="M1885" s="179"/>
      <c r="N1885" s="179"/>
      <c r="O1885" s="179"/>
      <c r="P1885" s="179"/>
    </row>
    <row r="1886" spans="1:76" s="81" customFormat="1" ht="25.5" x14ac:dyDescent="0.25">
      <c r="A1886" s="66" t="s">
        <v>2493</v>
      </c>
      <c r="B1886" s="72" t="s">
        <v>55</v>
      </c>
      <c r="C1886" s="72" t="s">
        <v>2491</v>
      </c>
      <c r="D1886" s="174" t="s">
        <v>2492</v>
      </c>
      <c r="E1886" s="174"/>
      <c r="F1886" s="72" t="s">
        <v>203</v>
      </c>
      <c r="G1886" s="90">
        <v>12</v>
      </c>
      <c r="H1886" s="91"/>
      <c r="I1886" s="92" t="s">
        <v>63</v>
      </c>
      <c r="J1886" s="90">
        <f>G1886*AO1886</f>
        <v>0</v>
      </c>
      <c r="K1886" s="90">
        <f>G1886*AP1886</f>
        <v>0</v>
      </c>
      <c r="L1886" s="90">
        <f>G1886*H1886</f>
        <v>0</v>
      </c>
      <c r="M1886" s="90">
        <f>L1886*(1+BW1886/100)</f>
        <v>0</v>
      </c>
      <c r="N1886" s="90">
        <v>2.5000000000000001E-2</v>
      </c>
      <c r="O1886" s="90">
        <f>G1886*N1886</f>
        <v>0.30000000000000004</v>
      </c>
      <c r="P1886" s="92" t="s">
        <v>578</v>
      </c>
      <c r="Z1886" s="93">
        <f>IF(AQ1886="5",BJ1886,0)</f>
        <v>0</v>
      </c>
      <c r="AB1886" s="93">
        <f>IF(AQ1886="1",BH1886,0)</f>
        <v>0</v>
      </c>
      <c r="AC1886" s="93">
        <f>IF(AQ1886="1",BI1886,0)</f>
        <v>0</v>
      </c>
      <c r="AD1886" s="93">
        <f>IF(AQ1886="7",BH1886,0)</f>
        <v>0</v>
      </c>
      <c r="AE1886" s="93">
        <f>IF(AQ1886="7",BI1886,0)</f>
        <v>0</v>
      </c>
      <c r="AF1886" s="93">
        <f>IF(AQ1886="2",BH1886,0)</f>
        <v>0</v>
      </c>
      <c r="AG1886" s="93">
        <f>IF(AQ1886="2",BI1886,0)</f>
        <v>0</v>
      </c>
      <c r="AH1886" s="93">
        <f>IF(AQ1886="0",BJ1886,0)</f>
        <v>0</v>
      </c>
      <c r="AI1886" s="88" t="s">
        <v>55</v>
      </c>
      <c r="AJ1886" s="93">
        <f>IF(AN1886=0,L1886,0)</f>
        <v>0</v>
      </c>
      <c r="AK1886" s="93">
        <f>IF(AN1886=12,L1886,0)</f>
        <v>0</v>
      </c>
      <c r="AL1886" s="93">
        <f>IF(AN1886=21,L1886,0)</f>
        <v>0</v>
      </c>
      <c r="AN1886" s="93">
        <v>21</v>
      </c>
      <c r="AO1886" s="93">
        <f>H1886*0.8</f>
        <v>0</v>
      </c>
      <c r="AP1886" s="93">
        <f>H1886*(1-0.8)</f>
        <v>0</v>
      </c>
      <c r="AQ1886" s="94" t="s">
        <v>148</v>
      </c>
      <c r="AV1886" s="93">
        <f>AW1886+AX1886</f>
        <v>0</v>
      </c>
      <c r="AW1886" s="93">
        <f>G1886*AO1886</f>
        <v>0</v>
      </c>
      <c r="AX1886" s="93">
        <f>G1886*AP1886</f>
        <v>0</v>
      </c>
      <c r="AY1886" s="94" t="s">
        <v>2323</v>
      </c>
      <c r="AZ1886" s="94" t="s">
        <v>2247</v>
      </c>
      <c r="BA1886" s="88" t="s">
        <v>67</v>
      </c>
      <c r="BC1886" s="93">
        <f>AW1886+AX1886</f>
        <v>0</v>
      </c>
      <c r="BD1886" s="93">
        <f>H1886/(100-BE1886)*100</f>
        <v>0</v>
      </c>
      <c r="BE1886" s="93">
        <v>0</v>
      </c>
      <c r="BF1886" s="93">
        <f>O1886</f>
        <v>0.30000000000000004</v>
      </c>
      <c r="BH1886" s="93">
        <f>G1886*AO1886</f>
        <v>0</v>
      </c>
      <c r="BI1886" s="93">
        <f>G1886*AP1886</f>
        <v>0</v>
      </c>
      <c r="BJ1886" s="93">
        <f>G1886*H1886</f>
        <v>0</v>
      </c>
      <c r="BK1886" s="93"/>
      <c r="BL1886" s="93">
        <v>766</v>
      </c>
      <c r="BW1886" s="93" t="str">
        <f>I1886</f>
        <v>21</v>
      </c>
      <c r="BX1886" s="2" t="s">
        <v>2492</v>
      </c>
    </row>
    <row r="1887" spans="1:76" s="81" customFormat="1" ht="13.5" customHeight="1" x14ac:dyDescent="0.25">
      <c r="A1887" s="110"/>
      <c r="B1887" s="95"/>
      <c r="C1887" s="95"/>
      <c r="D1887" s="179" t="s">
        <v>2459</v>
      </c>
      <c r="E1887" s="179"/>
      <c r="F1887" s="179"/>
      <c r="G1887" s="179"/>
      <c r="H1887" s="179"/>
      <c r="I1887" s="179"/>
      <c r="J1887" s="179"/>
      <c r="K1887" s="179"/>
      <c r="L1887" s="179"/>
      <c r="M1887" s="179"/>
      <c r="N1887" s="179"/>
      <c r="O1887" s="179"/>
      <c r="P1887" s="179"/>
    </row>
    <row r="1888" spans="1:76" s="81" customFormat="1" ht="25.5" x14ac:dyDescent="0.25">
      <c r="A1888" s="66" t="s">
        <v>2496</v>
      </c>
      <c r="B1888" s="72" t="s">
        <v>55</v>
      </c>
      <c r="C1888" s="72" t="s">
        <v>2494</v>
      </c>
      <c r="D1888" s="174" t="s">
        <v>2495</v>
      </c>
      <c r="E1888" s="174"/>
      <c r="F1888" s="72" t="s">
        <v>203</v>
      </c>
      <c r="G1888" s="90">
        <v>1</v>
      </c>
      <c r="H1888" s="91"/>
      <c r="I1888" s="92" t="s">
        <v>63</v>
      </c>
      <c r="J1888" s="90">
        <f>G1888*AO1888</f>
        <v>0</v>
      </c>
      <c r="K1888" s="90">
        <f>G1888*AP1888</f>
        <v>0</v>
      </c>
      <c r="L1888" s="90">
        <f>G1888*H1888</f>
        <v>0</v>
      </c>
      <c r="M1888" s="90">
        <f>L1888*(1+BW1888/100)</f>
        <v>0</v>
      </c>
      <c r="N1888" s="90">
        <v>2.5000000000000001E-2</v>
      </c>
      <c r="O1888" s="90">
        <f>G1888*N1888</f>
        <v>2.5000000000000001E-2</v>
      </c>
      <c r="P1888" s="92" t="s">
        <v>578</v>
      </c>
      <c r="Z1888" s="93">
        <f>IF(AQ1888="5",BJ1888,0)</f>
        <v>0</v>
      </c>
      <c r="AB1888" s="93">
        <f>IF(AQ1888="1",BH1888,0)</f>
        <v>0</v>
      </c>
      <c r="AC1888" s="93">
        <f>IF(AQ1888="1",BI1888,0)</f>
        <v>0</v>
      </c>
      <c r="AD1888" s="93">
        <f>IF(AQ1888="7",BH1888,0)</f>
        <v>0</v>
      </c>
      <c r="AE1888" s="93">
        <f>IF(AQ1888="7",BI1888,0)</f>
        <v>0</v>
      </c>
      <c r="AF1888" s="93">
        <f>IF(AQ1888="2",BH1888,0)</f>
        <v>0</v>
      </c>
      <c r="AG1888" s="93">
        <f>IF(AQ1888="2",BI1888,0)</f>
        <v>0</v>
      </c>
      <c r="AH1888" s="93">
        <f>IF(AQ1888="0",BJ1888,0)</f>
        <v>0</v>
      </c>
      <c r="AI1888" s="88" t="s">
        <v>55</v>
      </c>
      <c r="AJ1888" s="93">
        <f>IF(AN1888=0,L1888,0)</f>
        <v>0</v>
      </c>
      <c r="AK1888" s="93">
        <f>IF(AN1888=12,L1888,0)</f>
        <v>0</v>
      </c>
      <c r="AL1888" s="93">
        <f>IF(AN1888=21,L1888,0)</f>
        <v>0</v>
      </c>
      <c r="AN1888" s="93">
        <v>21</v>
      </c>
      <c r="AO1888" s="93">
        <f>H1888*0.8</f>
        <v>0</v>
      </c>
      <c r="AP1888" s="93">
        <f>H1888*(1-0.8)</f>
        <v>0</v>
      </c>
      <c r="AQ1888" s="94" t="s">
        <v>148</v>
      </c>
      <c r="AV1888" s="93">
        <f>AW1888+AX1888</f>
        <v>0</v>
      </c>
      <c r="AW1888" s="93">
        <f>G1888*AO1888</f>
        <v>0</v>
      </c>
      <c r="AX1888" s="93">
        <f>G1888*AP1888</f>
        <v>0</v>
      </c>
      <c r="AY1888" s="94" t="s">
        <v>2323</v>
      </c>
      <c r="AZ1888" s="94" t="s">
        <v>2247</v>
      </c>
      <c r="BA1888" s="88" t="s">
        <v>67</v>
      </c>
      <c r="BC1888" s="93">
        <f>AW1888+AX1888</f>
        <v>0</v>
      </c>
      <c r="BD1888" s="93">
        <f>H1888/(100-BE1888)*100</f>
        <v>0</v>
      </c>
      <c r="BE1888" s="93">
        <v>0</v>
      </c>
      <c r="BF1888" s="93">
        <f>O1888</f>
        <v>2.5000000000000001E-2</v>
      </c>
      <c r="BH1888" s="93">
        <f>G1888*AO1888</f>
        <v>0</v>
      </c>
      <c r="BI1888" s="93">
        <f>G1888*AP1888</f>
        <v>0</v>
      </c>
      <c r="BJ1888" s="93">
        <f>G1888*H1888</f>
        <v>0</v>
      </c>
      <c r="BK1888" s="93"/>
      <c r="BL1888" s="93">
        <v>766</v>
      </c>
      <c r="BW1888" s="93" t="str">
        <f>I1888</f>
        <v>21</v>
      </c>
      <c r="BX1888" s="2" t="s">
        <v>2495</v>
      </c>
    </row>
    <row r="1889" spans="1:76" s="81" customFormat="1" ht="13.5" customHeight="1" x14ac:dyDescent="0.25">
      <c r="A1889" s="110"/>
      <c r="B1889" s="95"/>
      <c r="C1889" s="95"/>
      <c r="D1889" s="179" t="s">
        <v>2459</v>
      </c>
      <c r="E1889" s="179"/>
      <c r="F1889" s="179"/>
      <c r="G1889" s="179"/>
      <c r="H1889" s="179"/>
      <c r="I1889" s="179"/>
      <c r="J1889" s="179"/>
      <c r="K1889" s="179"/>
      <c r="L1889" s="179"/>
      <c r="M1889" s="179"/>
      <c r="N1889" s="179"/>
      <c r="O1889" s="179"/>
      <c r="P1889" s="179"/>
    </row>
    <row r="1890" spans="1:76" s="81" customFormat="1" ht="25.5" x14ac:dyDescent="0.25">
      <c r="A1890" s="66" t="s">
        <v>2499</v>
      </c>
      <c r="B1890" s="72" t="s">
        <v>55</v>
      </c>
      <c r="C1890" s="72" t="s">
        <v>2497</v>
      </c>
      <c r="D1890" s="174" t="s">
        <v>2498</v>
      </c>
      <c r="E1890" s="174"/>
      <c r="F1890" s="72" t="s">
        <v>203</v>
      </c>
      <c r="G1890" s="90">
        <v>1</v>
      </c>
      <c r="H1890" s="91"/>
      <c r="I1890" s="92" t="s">
        <v>63</v>
      </c>
      <c r="J1890" s="90">
        <f>G1890*AO1890</f>
        <v>0</v>
      </c>
      <c r="K1890" s="90">
        <f>G1890*AP1890</f>
        <v>0</v>
      </c>
      <c r="L1890" s="90">
        <f>G1890*H1890</f>
        <v>0</v>
      </c>
      <c r="M1890" s="90">
        <f>L1890*(1+BW1890/100)</f>
        <v>0</v>
      </c>
      <c r="N1890" s="90">
        <v>2.5000000000000001E-2</v>
      </c>
      <c r="O1890" s="90">
        <f>G1890*N1890</f>
        <v>2.5000000000000001E-2</v>
      </c>
      <c r="P1890" s="92" t="s">
        <v>578</v>
      </c>
      <c r="Z1890" s="93">
        <f>IF(AQ1890="5",BJ1890,0)</f>
        <v>0</v>
      </c>
      <c r="AB1890" s="93">
        <f>IF(AQ1890="1",BH1890,0)</f>
        <v>0</v>
      </c>
      <c r="AC1890" s="93">
        <f>IF(AQ1890="1",BI1890,0)</f>
        <v>0</v>
      </c>
      <c r="AD1890" s="93">
        <f>IF(AQ1890="7",BH1890,0)</f>
        <v>0</v>
      </c>
      <c r="AE1890" s="93">
        <f>IF(AQ1890="7",BI1890,0)</f>
        <v>0</v>
      </c>
      <c r="AF1890" s="93">
        <f>IF(AQ1890="2",BH1890,0)</f>
        <v>0</v>
      </c>
      <c r="AG1890" s="93">
        <f>IF(AQ1890="2",BI1890,0)</f>
        <v>0</v>
      </c>
      <c r="AH1890" s="93">
        <f>IF(AQ1890="0",BJ1890,0)</f>
        <v>0</v>
      </c>
      <c r="AI1890" s="88" t="s">
        <v>55</v>
      </c>
      <c r="AJ1890" s="93">
        <f>IF(AN1890=0,L1890,0)</f>
        <v>0</v>
      </c>
      <c r="AK1890" s="93">
        <f>IF(AN1890=12,L1890,0)</f>
        <v>0</v>
      </c>
      <c r="AL1890" s="93">
        <f>IF(AN1890=21,L1890,0)</f>
        <v>0</v>
      </c>
      <c r="AN1890" s="93">
        <v>21</v>
      </c>
      <c r="AO1890" s="93">
        <f>H1890*0.812</f>
        <v>0</v>
      </c>
      <c r="AP1890" s="93">
        <f>H1890*(1-0.812)</f>
        <v>0</v>
      </c>
      <c r="AQ1890" s="94" t="s">
        <v>148</v>
      </c>
      <c r="AV1890" s="93">
        <f>AW1890+AX1890</f>
        <v>0</v>
      </c>
      <c r="AW1890" s="93">
        <f>G1890*AO1890</f>
        <v>0</v>
      </c>
      <c r="AX1890" s="93">
        <f>G1890*AP1890</f>
        <v>0</v>
      </c>
      <c r="AY1890" s="94" t="s">
        <v>2323</v>
      </c>
      <c r="AZ1890" s="94" t="s">
        <v>2247</v>
      </c>
      <c r="BA1890" s="88" t="s">
        <v>67</v>
      </c>
      <c r="BC1890" s="93">
        <f>AW1890+AX1890</f>
        <v>0</v>
      </c>
      <c r="BD1890" s="93">
        <f>H1890/(100-BE1890)*100</f>
        <v>0</v>
      </c>
      <c r="BE1890" s="93">
        <v>0</v>
      </c>
      <c r="BF1890" s="93">
        <f>O1890</f>
        <v>2.5000000000000001E-2</v>
      </c>
      <c r="BH1890" s="93">
        <f>G1890*AO1890</f>
        <v>0</v>
      </c>
      <c r="BI1890" s="93">
        <f>G1890*AP1890</f>
        <v>0</v>
      </c>
      <c r="BJ1890" s="93">
        <f>G1890*H1890</f>
        <v>0</v>
      </c>
      <c r="BK1890" s="93"/>
      <c r="BL1890" s="93">
        <v>766</v>
      </c>
      <c r="BW1890" s="93" t="str">
        <f>I1890</f>
        <v>21</v>
      </c>
      <c r="BX1890" s="2" t="s">
        <v>2498</v>
      </c>
    </row>
    <row r="1891" spans="1:76" s="81" customFormat="1" ht="13.5" customHeight="1" x14ac:dyDescent="0.25">
      <c r="A1891" s="110"/>
      <c r="B1891" s="95"/>
      <c r="C1891" s="95"/>
      <c r="D1891" s="179" t="s">
        <v>2459</v>
      </c>
      <c r="E1891" s="179"/>
      <c r="F1891" s="179"/>
      <c r="G1891" s="179"/>
      <c r="H1891" s="179"/>
      <c r="I1891" s="179"/>
      <c r="J1891" s="179"/>
      <c r="K1891" s="179"/>
      <c r="L1891" s="179"/>
      <c r="M1891" s="179"/>
      <c r="N1891" s="179"/>
      <c r="O1891" s="179"/>
      <c r="P1891" s="179"/>
    </row>
    <row r="1892" spans="1:76" s="81" customFormat="1" ht="25.5" x14ac:dyDescent="0.25">
      <c r="A1892" s="66" t="s">
        <v>2502</v>
      </c>
      <c r="B1892" s="72" t="s">
        <v>55</v>
      </c>
      <c r="C1892" s="72" t="s">
        <v>2500</v>
      </c>
      <c r="D1892" s="174" t="s">
        <v>2501</v>
      </c>
      <c r="E1892" s="174"/>
      <c r="F1892" s="72" t="s">
        <v>203</v>
      </c>
      <c r="G1892" s="90">
        <v>1</v>
      </c>
      <c r="H1892" s="91"/>
      <c r="I1892" s="92" t="s">
        <v>63</v>
      </c>
      <c r="J1892" s="90">
        <f>G1892*AO1892</f>
        <v>0</v>
      </c>
      <c r="K1892" s="90">
        <f>G1892*AP1892</f>
        <v>0</v>
      </c>
      <c r="L1892" s="90">
        <f>G1892*H1892</f>
        <v>0</v>
      </c>
      <c r="M1892" s="90">
        <f>L1892*(1+BW1892/100)</f>
        <v>0</v>
      </c>
      <c r="N1892" s="90">
        <v>2.5000000000000001E-2</v>
      </c>
      <c r="O1892" s="90">
        <f>G1892*N1892</f>
        <v>2.5000000000000001E-2</v>
      </c>
      <c r="P1892" s="92" t="s">
        <v>578</v>
      </c>
      <c r="Z1892" s="93">
        <f>IF(AQ1892="5",BJ1892,0)</f>
        <v>0</v>
      </c>
      <c r="AB1892" s="93">
        <f>IF(AQ1892="1",BH1892,0)</f>
        <v>0</v>
      </c>
      <c r="AC1892" s="93">
        <f>IF(AQ1892="1",BI1892,0)</f>
        <v>0</v>
      </c>
      <c r="AD1892" s="93">
        <f>IF(AQ1892="7",BH1892,0)</f>
        <v>0</v>
      </c>
      <c r="AE1892" s="93">
        <f>IF(AQ1892="7",BI1892,0)</f>
        <v>0</v>
      </c>
      <c r="AF1892" s="93">
        <f>IF(AQ1892="2",BH1892,0)</f>
        <v>0</v>
      </c>
      <c r="AG1892" s="93">
        <f>IF(AQ1892="2",BI1892,0)</f>
        <v>0</v>
      </c>
      <c r="AH1892" s="93">
        <f>IF(AQ1892="0",BJ1892,0)</f>
        <v>0</v>
      </c>
      <c r="AI1892" s="88" t="s">
        <v>55</v>
      </c>
      <c r="AJ1892" s="93">
        <f>IF(AN1892=0,L1892,0)</f>
        <v>0</v>
      </c>
      <c r="AK1892" s="93">
        <f>IF(AN1892=12,L1892,0)</f>
        <v>0</v>
      </c>
      <c r="AL1892" s="93">
        <f>IF(AN1892=21,L1892,0)</f>
        <v>0</v>
      </c>
      <c r="AN1892" s="93">
        <v>21</v>
      </c>
      <c r="AO1892" s="93">
        <f>H1892*0.95</f>
        <v>0</v>
      </c>
      <c r="AP1892" s="93">
        <f>H1892*(1-0.95)</f>
        <v>0</v>
      </c>
      <c r="AQ1892" s="94" t="s">
        <v>148</v>
      </c>
      <c r="AV1892" s="93">
        <f>AW1892+AX1892</f>
        <v>0</v>
      </c>
      <c r="AW1892" s="93">
        <f>G1892*AO1892</f>
        <v>0</v>
      </c>
      <c r="AX1892" s="93">
        <f>G1892*AP1892</f>
        <v>0</v>
      </c>
      <c r="AY1892" s="94" t="s">
        <v>2323</v>
      </c>
      <c r="AZ1892" s="94" t="s">
        <v>2247</v>
      </c>
      <c r="BA1892" s="88" t="s">
        <v>67</v>
      </c>
      <c r="BC1892" s="93">
        <f>AW1892+AX1892</f>
        <v>0</v>
      </c>
      <c r="BD1892" s="93">
        <f>H1892/(100-BE1892)*100</f>
        <v>0</v>
      </c>
      <c r="BE1892" s="93">
        <v>0</v>
      </c>
      <c r="BF1892" s="93">
        <f>O1892</f>
        <v>2.5000000000000001E-2</v>
      </c>
      <c r="BH1892" s="93">
        <f>G1892*AO1892</f>
        <v>0</v>
      </c>
      <c r="BI1892" s="93">
        <f>G1892*AP1892</f>
        <v>0</v>
      </c>
      <c r="BJ1892" s="93">
        <f>G1892*H1892</f>
        <v>0</v>
      </c>
      <c r="BK1892" s="93"/>
      <c r="BL1892" s="93">
        <v>766</v>
      </c>
      <c r="BW1892" s="93" t="str">
        <f>I1892</f>
        <v>21</v>
      </c>
      <c r="BX1892" s="2" t="s">
        <v>2501</v>
      </c>
    </row>
    <row r="1893" spans="1:76" s="81" customFormat="1" ht="25.5" x14ac:dyDescent="0.25">
      <c r="A1893" s="66" t="s">
        <v>2507</v>
      </c>
      <c r="B1893" s="72" t="s">
        <v>55</v>
      </c>
      <c r="C1893" s="72" t="s">
        <v>2503</v>
      </c>
      <c r="D1893" s="174" t="s">
        <v>2504</v>
      </c>
      <c r="E1893" s="174"/>
      <c r="F1893" s="72" t="s">
        <v>1447</v>
      </c>
      <c r="G1893" s="91"/>
      <c r="H1893" s="91"/>
      <c r="I1893" s="92" t="s">
        <v>63</v>
      </c>
      <c r="J1893" s="90">
        <f>G1893*AO1893</f>
        <v>0</v>
      </c>
      <c r="K1893" s="90">
        <f>G1893*AP1893</f>
        <v>0</v>
      </c>
      <c r="L1893" s="90">
        <f>G1893*H1893</f>
        <v>0</v>
      </c>
      <c r="M1893" s="90">
        <f>L1893*(1+BW1893/100)</f>
        <v>0</v>
      </c>
      <c r="N1893" s="90">
        <v>0</v>
      </c>
      <c r="O1893" s="90">
        <f>G1893*N1893</f>
        <v>0</v>
      </c>
      <c r="P1893" s="92" t="s">
        <v>64</v>
      </c>
      <c r="Z1893" s="93">
        <f>IF(AQ1893="5",BJ1893,0)</f>
        <v>0</v>
      </c>
      <c r="AB1893" s="93">
        <f>IF(AQ1893="1",BH1893,0)</f>
        <v>0</v>
      </c>
      <c r="AC1893" s="93">
        <f>IF(AQ1893="1",BI1893,0)</f>
        <v>0</v>
      </c>
      <c r="AD1893" s="93">
        <f>IF(AQ1893="7",BH1893,0)</f>
        <v>0</v>
      </c>
      <c r="AE1893" s="93">
        <f>IF(AQ1893="7",BI1893,0)</f>
        <v>0</v>
      </c>
      <c r="AF1893" s="93">
        <f>IF(AQ1893="2",BH1893,0)</f>
        <v>0</v>
      </c>
      <c r="AG1893" s="93">
        <f>IF(AQ1893="2",BI1893,0)</f>
        <v>0</v>
      </c>
      <c r="AH1893" s="93">
        <f>IF(AQ1893="0",BJ1893,0)</f>
        <v>0</v>
      </c>
      <c r="AI1893" s="88" t="s">
        <v>55</v>
      </c>
      <c r="AJ1893" s="93">
        <f>IF(AN1893=0,L1893,0)</f>
        <v>0</v>
      </c>
      <c r="AK1893" s="93">
        <f>IF(AN1893=12,L1893,0)</f>
        <v>0</v>
      </c>
      <c r="AL1893" s="93">
        <f>IF(AN1893=21,L1893,0)</f>
        <v>0</v>
      </c>
      <c r="AN1893" s="93">
        <v>21</v>
      </c>
      <c r="AO1893" s="93">
        <f>H1893*0</f>
        <v>0</v>
      </c>
      <c r="AP1893" s="93">
        <f>H1893*(1-0)</f>
        <v>0</v>
      </c>
      <c r="AQ1893" s="94" t="s">
        <v>136</v>
      </c>
      <c r="AV1893" s="93">
        <f>AW1893+AX1893</f>
        <v>0</v>
      </c>
      <c r="AW1893" s="93">
        <f>G1893*AO1893</f>
        <v>0</v>
      </c>
      <c r="AX1893" s="93">
        <f>G1893*AP1893</f>
        <v>0</v>
      </c>
      <c r="AY1893" s="94" t="s">
        <v>2323</v>
      </c>
      <c r="AZ1893" s="94" t="s">
        <v>2247</v>
      </c>
      <c r="BA1893" s="88" t="s">
        <v>67</v>
      </c>
      <c r="BC1893" s="93">
        <f>AW1893+AX1893</f>
        <v>0</v>
      </c>
      <c r="BD1893" s="93">
        <f>H1893/(100-BE1893)*100</f>
        <v>0</v>
      </c>
      <c r="BE1893" s="93">
        <v>0</v>
      </c>
      <c r="BF1893" s="93">
        <f>O1893</f>
        <v>0</v>
      </c>
      <c r="BH1893" s="93">
        <f>G1893*AO1893</f>
        <v>0</v>
      </c>
      <c r="BI1893" s="93">
        <f>G1893*AP1893</f>
        <v>0</v>
      </c>
      <c r="BJ1893" s="93">
        <f>G1893*H1893</f>
        <v>0</v>
      </c>
      <c r="BK1893" s="93"/>
      <c r="BL1893" s="93">
        <v>766</v>
      </c>
      <c r="BW1893" s="93" t="str">
        <f>I1893</f>
        <v>21</v>
      </c>
      <c r="BX1893" s="2" t="s">
        <v>2504</v>
      </c>
    </row>
    <row r="1894" spans="1:76" s="81" customFormat="1" x14ac:dyDescent="0.25">
      <c r="A1894" s="109" t="s">
        <v>54</v>
      </c>
      <c r="B1894" s="74" t="s">
        <v>55</v>
      </c>
      <c r="C1894" s="74" t="s">
        <v>2505</v>
      </c>
      <c r="D1894" s="180" t="s">
        <v>2506</v>
      </c>
      <c r="E1894" s="180"/>
      <c r="F1894" s="85" t="s">
        <v>4</v>
      </c>
      <c r="G1894" s="85" t="s">
        <v>4</v>
      </c>
      <c r="H1894" s="98"/>
      <c r="I1894" s="85" t="s">
        <v>4</v>
      </c>
      <c r="J1894" s="86">
        <f>SUM(J1895:J1999)</f>
        <v>0</v>
      </c>
      <c r="K1894" s="86">
        <f>SUM(K1895:K1999)</f>
        <v>0</v>
      </c>
      <c r="L1894" s="86">
        <f>SUM(L1895:L1999)</f>
        <v>0</v>
      </c>
      <c r="M1894" s="86">
        <f>SUM(M1895:M1999)</f>
        <v>0</v>
      </c>
      <c r="N1894" s="87" t="s">
        <v>54</v>
      </c>
      <c r="O1894" s="86">
        <f>SUM(O1895:O1999)</f>
        <v>13738.74523968</v>
      </c>
      <c r="P1894" s="87" t="s">
        <v>54</v>
      </c>
      <c r="AI1894" s="88" t="s">
        <v>55</v>
      </c>
      <c r="AS1894" s="89">
        <f>SUM(AJ1895:AJ1999)</f>
        <v>0</v>
      </c>
      <c r="AT1894" s="89">
        <f>SUM(AK1895:AK1999)</f>
        <v>0</v>
      </c>
      <c r="AU1894" s="89">
        <f>SUM(AL1895:AL1999)</f>
        <v>0</v>
      </c>
    </row>
    <row r="1895" spans="1:76" s="81" customFormat="1" ht="25.5" x14ac:dyDescent="0.25">
      <c r="A1895" s="66" t="s">
        <v>2511</v>
      </c>
      <c r="B1895" s="72" t="s">
        <v>55</v>
      </c>
      <c r="C1895" s="72" t="s">
        <v>2508</v>
      </c>
      <c r="D1895" s="174" t="s">
        <v>2509</v>
      </c>
      <c r="E1895" s="174"/>
      <c r="F1895" s="72" t="s">
        <v>203</v>
      </c>
      <c r="G1895" s="90">
        <v>9</v>
      </c>
      <c r="H1895" s="91"/>
      <c r="I1895" s="92" t="s">
        <v>63</v>
      </c>
      <c r="J1895" s="90">
        <f t="shared" ref="J1895:J1916" si="359">G1895*AO1895</f>
        <v>0</v>
      </c>
      <c r="K1895" s="90">
        <f t="shared" ref="K1895:K1916" si="360">G1895*AP1895</f>
        <v>0</v>
      </c>
      <c r="L1895" s="90">
        <f t="shared" ref="L1895:L1916" si="361">G1895*H1895</f>
        <v>0</v>
      </c>
      <c r="M1895" s="90">
        <f t="shared" ref="M1895:M1916" si="362">L1895*(1+BW1895/100)</f>
        <v>0</v>
      </c>
      <c r="N1895" s="90">
        <v>0</v>
      </c>
      <c r="O1895" s="90">
        <f t="shared" ref="O1895:O1916" si="363">G1895*N1895</f>
        <v>0</v>
      </c>
      <c r="P1895" s="92" t="s">
        <v>371</v>
      </c>
      <c r="Z1895" s="93">
        <f t="shared" ref="Z1895:Z1916" si="364">IF(AQ1895="5",BJ1895,0)</f>
        <v>0</v>
      </c>
      <c r="AB1895" s="93">
        <f t="shared" ref="AB1895:AB1916" si="365">IF(AQ1895="1",BH1895,0)</f>
        <v>0</v>
      </c>
      <c r="AC1895" s="93">
        <f t="shared" ref="AC1895:AC1916" si="366">IF(AQ1895="1",BI1895,0)</f>
        <v>0</v>
      </c>
      <c r="AD1895" s="93">
        <f t="shared" ref="AD1895:AD1916" si="367">IF(AQ1895="7",BH1895,0)</f>
        <v>0</v>
      </c>
      <c r="AE1895" s="93">
        <f t="shared" ref="AE1895:AE1916" si="368">IF(AQ1895="7",BI1895,0)</f>
        <v>0</v>
      </c>
      <c r="AF1895" s="93">
        <f t="shared" ref="AF1895:AF1916" si="369">IF(AQ1895="2",BH1895,0)</f>
        <v>0</v>
      </c>
      <c r="AG1895" s="93">
        <f t="shared" ref="AG1895:AG1916" si="370">IF(AQ1895="2",BI1895,0)</f>
        <v>0</v>
      </c>
      <c r="AH1895" s="93">
        <f t="shared" ref="AH1895:AH1916" si="371">IF(AQ1895="0",BJ1895,0)</f>
        <v>0</v>
      </c>
      <c r="AI1895" s="88" t="s">
        <v>55</v>
      </c>
      <c r="AJ1895" s="93">
        <f t="shared" ref="AJ1895:AJ1916" si="372">IF(AN1895=0,L1895,0)</f>
        <v>0</v>
      </c>
      <c r="AK1895" s="93">
        <f t="shared" ref="AK1895:AK1916" si="373">IF(AN1895=12,L1895,0)</f>
        <v>0</v>
      </c>
      <c r="AL1895" s="93">
        <f t="shared" ref="AL1895:AL1916" si="374">IF(AN1895=21,L1895,0)</f>
        <v>0</v>
      </c>
      <c r="AN1895" s="93">
        <v>21</v>
      </c>
      <c r="AO1895" s="93">
        <f>H1895*0.329041481</f>
        <v>0</v>
      </c>
      <c r="AP1895" s="93">
        <f>H1895*(1-0.329041481)</f>
        <v>0</v>
      </c>
      <c r="AQ1895" s="94" t="s">
        <v>148</v>
      </c>
      <c r="AV1895" s="93">
        <f t="shared" ref="AV1895:AV1916" si="375">AW1895+AX1895</f>
        <v>0</v>
      </c>
      <c r="AW1895" s="93">
        <f t="shared" ref="AW1895:AW1916" si="376">G1895*AO1895</f>
        <v>0</v>
      </c>
      <c r="AX1895" s="93">
        <f t="shared" ref="AX1895:AX1916" si="377">G1895*AP1895</f>
        <v>0</v>
      </c>
      <c r="AY1895" s="94" t="s">
        <v>2510</v>
      </c>
      <c r="AZ1895" s="94" t="s">
        <v>2247</v>
      </c>
      <c r="BA1895" s="88" t="s">
        <v>67</v>
      </c>
      <c r="BC1895" s="93">
        <f t="shared" ref="BC1895:BC1916" si="378">AW1895+AX1895</f>
        <v>0</v>
      </c>
      <c r="BD1895" s="93">
        <f t="shared" ref="BD1895:BD1916" si="379">H1895/(100-BE1895)*100</f>
        <v>0</v>
      </c>
      <c r="BE1895" s="93">
        <v>0</v>
      </c>
      <c r="BF1895" s="93">
        <f t="shared" ref="BF1895:BF1916" si="380">O1895</f>
        <v>0</v>
      </c>
      <c r="BH1895" s="93">
        <f t="shared" ref="BH1895:BH1916" si="381">G1895*AO1895</f>
        <v>0</v>
      </c>
      <c r="BI1895" s="93">
        <f t="shared" ref="BI1895:BI1916" si="382">G1895*AP1895</f>
        <v>0</v>
      </c>
      <c r="BJ1895" s="93">
        <f t="shared" ref="BJ1895:BJ1916" si="383">G1895*H1895</f>
        <v>0</v>
      </c>
      <c r="BK1895" s="93"/>
      <c r="BL1895" s="93">
        <v>767</v>
      </c>
      <c r="BW1895" s="93" t="str">
        <f t="shared" ref="BW1895:BW1916" si="384">I1895</f>
        <v>21</v>
      </c>
      <c r="BX1895" s="2" t="s">
        <v>2509</v>
      </c>
    </row>
    <row r="1896" spans="1:76" s="81" customFormat="1" ht="25.5" x14ac:dyDescent="0.25">
      <c r="A1896" s="66" t="s">
        <v>2514</v>
      </c>
      <c r="B1896" s="72" t="s">
        <v>55</v>
      </c>
      <c r="C1896" s="72" t="s">
        <v>2512</v>
      </c>
      <c r="D1896" s="174" t="s">
        <v>2513</v>
      </c>
      <c r="E1896" s="174"/>
      <c r="F1896" s="72" t="s">
        <v>203</v>
      </c>
      <c r="G1896" s="90">
        <v>6</v>
      </c>
      <c r="H1896" s="91"/>
      <c r="I1896" s="92" t="s">
        <v>63</v>
      </c>
      <c r="J1896" s="90">
        <f t="shared" si="359"/>
        <v>0</v>
      </c>
      <c r="K1896" s="90">
        <f t="shared" si="360"/>
        <v>0</v>
      </c>
      <c r="L1896" s="90">
        <f t="shared" si="361"/>
        <v>0</v>
      </c>
      <c r="M1896" s="90">
        <f t="shared" si="362"/>
        <v>0</v>
      </c>
      <c r="N1896" s="90">
        <v>0</v>
      </c>
      <c r="O1896" s="90">
        <f t="shared" si="363"/>
        <v>0</v>
      </c>
      <c r="P1896" s="92" t="s">
        <v>371</v>
      </c>
      <c r="Z1896" s="93">
        <f t="shared" si="364"/>
        <v>0</v>
      </c>
      <c r="AB1896" s="93">
        <f t="shared" si="365"/>
        <v>0</v>
      </c>
      <c r="AC1896" s="93">
        <f t="shared" si="366"/>
        <v>0</v>
      </c>
      <c r="AD1896" s="93">
        <f t="shared" si="367"/>
        <v>0</v>
      </c>
      <c r="AE1896" s="93">
        <f t="shared" si="368"/>
        <v>0</v>
      </c>
      <c r="AF1896" s="93">
        <f t="shared" si="369"/>
        <v>0</v>
      </c>
      <c r="AG1896" s="93">
        <f t="shared" si="370"/>
        <v>0</v>
      </c>
      <c r="AH1896" s="93">
        <f t="shared" si="371"/>
        <v>0</v>
      </c>
      <c r="AI1896" s="88" t="s">
        <v>55</v>
      </c>
      <c r="AJ1896" s="93">
        <f t="shared" si="372"/>
        <v>0</v>
      </c>
      <c r="AK1896" s="93">
        <f t="shared" si="373"/>
        <v>0</v>
      </c>
      <c r="AL1896" s="93">
        <f t="shared" si="374"/>
        <v>0</v>
      </c>
      <c r="AN1896" s="93">
        <v>21</v>
      </c>
      <c r="AO1896" s="93">
        <f>H1896*0.329042431</f>
        <v>0</v>
      </c>
      <c r="AP1896" s="93">
        <f>H1896*(1-0.329042431)</f>
        <v>0</v>
      </c>
      <c r="AQ1896" s="94" t="s">
        <v>148</v>
      </c>
      <c r="AV1896" s="93">
        <f t="shared" si="375"/>
        <v>0</v>
      </c>
      <c r="AW1896" s="93">
        <f t="shared" si="376"/>
        <v>0</v>
      </c>
      <c r="AX1896" s="93">
        <f t="shared" si="377"/>
        <v>0</v>
      </c>
      <c r="AY1896" s="94" t="s">
        <v>2510</v>
      </c>
      <c r="AZ1896" s="94" t="s">
        <v>2247</v>
      </c>
      <c r="BA1896" s="88" t="s">
        <v>67</v>
      </c>
      <c r="BC1896" s="93">
        <f t="shared" si="378"/>
        <v>0</v>
      </c>
      <c r="BD1896" s="93">
        <f t="shared" si="379"/>
        <v>0</v>
      </c>
      <c r="BE1896" s="93">
        <v>0</v>
      </c>
      <c r="BF1896" s="93">
        <f t="shared" si="380"/>
        <v>0</v>
      </c>
      <c r="BH1896" s="93">
        <f t="shared" si="381"/>
        <v>0</v>
      </c>
      <c r="BI1896" s="93">
        <f t="shared" si="382"/>
        <v>0</v>
      </c>
      <c r="BJ1896" s="93">
        <f t="shared" si="383"/>
        <v>0</v>
      </c>
      <c r="BK1896" s="93"/>
      <c r="BL1896" s="93">
        <v>767</v>
      </c>
      <c r="BW1896" s="93" t="str">
        <f t="shared" si="384"/>
        <v>21</v>
      </c>
      <c r="BX1896" s="2" t="s">
        <v>2513</v>
      </c>
    </row>
    <row r="1897" spans="1:76" s="81" customFormat="1" ht="25.5" x14ac:dyDescent="0.25">
      <c r="A1897" s="66" t="s">
        <v>2517</v>
      </c>
      <c r="B1897" s="72" t="s">
        <v>55</v>
      </c>
      <c r="C1897" s="72" t="s">
        <v>2515</v>
      </c>
      <c r="D1897" s="174" t="s">
        <v>2516</v>
      </c>
      <c r="E1897" s="174"/>
      <c r="F1897" s="72" t="s">
        <v>203</v>
      </c>
      <c r="G1897" s="90">
        <v>1</v>
      </c>
      <c r="H1897" s="91"/>
      <c r="I1897" s="92" t="s">
        <v>63</v>
      </c>
      <c r="J1897" s="90">
        <f t="shared" si="359"/>
        <v>0</v>
      </c>
      <c r="K1897" s="90">
        <f t="shared" si="360"/>
        <v>0</v>
      </c>
      <c r="L1897" s="90">
        <f t="shared" si="361"/>
        <v>0</v>
      </c>
      <c r="M1897" s="90">
        <f t="shared" si="362"/>
        <v>0</v>
      </c>
      <c r="N1897" s="90">
        <v>0</v>
      </c>
      <c r="O1897" s="90">
        <f t="shared" si="363"/>
        <v>0</v>
      </c>
      <c r="P1897" s="92" t="s">
        <v>371</v>
      </c>
      <c r="Z1897" s="93">
        <f t="shared" si="364"/>
        <v>0</v>
      </c>
      <c r="AB1897" s="93">
        <f t="shared" si="365"/>
        <v>0</v>
      </c>
      <c r="AC1897" s="93">
        <f t="shared" si="366"/>
        <v>0</v>
      </c>
      <c r="AD1897" s="93">
        <f t="shared" si="367"/>
        <v>0</v>
      </c>
      <c r="AE1897" s="93">
        <f t="shared" si="368"/>
        <v>0</v>
      </c>
      <c r="AF1897" s="93">
        <f t="shared" si="369"/>
        <v>0</v>
      </c>
      <c r="AG1897" s="93">
        <f t="shared" si="370"/>
        <v>0</v>
      </c>
      <c r="AH1897" s="93">
        <f t="shared" si="371"/>
        <v>0</v>
      </c>
      <c r="AI1897" s="88" t="s">
        <v>55</v>
      </c>
      <c r="AJ1897" s="93">
        <f t="shared" si="372"/>
        <v>0</v>
      </c>
      <c r="AK1897" s="93">
        <f t="shared" si="373"/>
        <v>0</v>
      </c>
      <c r="AL1897" s="93">
        <f t="shared" si="374"/>
        <v>0</v>
      </c>
      <c r="AN1897" s="93">
        <v>21</v>
      </c>
      <c r="AO1897" s="93">
        <f>H1897*0.329033048</f>
        <v>0</v>
      </c>
      <c r="AP1897" s="93">
        <f>H1897*(1-0.329033048)</f>
        <v>0</v>
      </c>
      <c r="AQ1897" s="94" t="s">
        <v>148</v>
      </c>
      <c r="AV1897" s="93">
        <f t="shared" si="375"/>
        <v>0</v>
      </c>
      <c r="AW1897" s="93">
        <f t="shared" si="376"/>
        <v>0</v>
      </c>
      <c r="AX1897" s="93">
        <f t="shared" si="377"/>
        <v>0</v>
      </c>
      <c r="AY1897" s="94" t="s">
        <v>2510</v>
      </c>
      <c r="AZ1897" s="94" t="s">
        <v>2247</v>
      </c>
      <c r="BA1897" s="88" t="s">
        <v>67</v>
      </c>
      <c r="BC1897" s="93">
        <f t="shared" si="378"/>
        <v>0</v>
      </c>
      <c r="BD1897" s="93">
        <f t="shared" si="379"/>
        <v>0</v>
      </c>
      <c r="BE1897" s="93">
        <v>0</v>
      </c>
      <c r="BF1897" s="93">
        <f t="shared" si="380"/>
        <v>0</v>
      </c>
      <c r="BH1897" s="93">
        <f t="shared" si="381"/>
        <v>0</v>
      </c>
      <c r="BI1897" s="93">
        <f t="shared" si="382"/>
        <v>0</v>
      </c>
      <c r="BJ1897" s="93">
        <f t="shared" si="383"/>
        <v>0</v>
      </c>
      <c r="BK1897" s="93"/>
      <c r="BL1897" s="93">
        <v>767</v>
      </c>
      <c r="BW1897" s="93" t="str">
        <f t="shared" si="384"/>
        <v>21</v>
      </c>
      <c r="BX1897" s="2" t="s">
        <v>2516</v>
      </c>
    </row>
    <row r="1898" spans="1:76" s="81" customFormat="1" ht="25.5" x14ac:dyDescent="0.25">
      <c r="A1898" s="66" t="s">
        <v>2520</v>
      </c>
      <c r="B1898" s="72" t="s">
        <v>55</v>
      </c>
      <c r="C1898" s="72" t="s">
        <v>2518</v>
      </c>
      <c r="D1898" s="174" t="s">
        <v>2519</v>
      </c>
      <c r="E1898" s="174"/>
      <c r="F1898" s="72" t="s">
        <v>203</v>
      </c>
      <c r="G1898" s="90">
        <v>1</v>
      </c>
      <c r="H1898" s="91"/>
      <c r="I1898" s="92" t="s">
        <v>63</v>
      </c>
      <c r="J1898" s="90">
        <f t="shared" si="359"/>
        <v>0</v>
      </c>
      <c r="K1898" s="90">
        <f t="shared" si="360"/>
        <v>0</v>
      </c>
      <c r="L1898" s="90">
        <f t="shared" si="361"/>
        <v>0</v>
      </c>
      <c r="M1898" s="90">
        <f t="shared" si="362"/>
        <v>0</v>
      </c>
      <c r="N1898" s="90">
        <v>0</v>
      </c>
      <c r="O1898" s="90">
        <f t="shared" si="363"/>
        <v>0</v>
      </c>
      <c r="P1898" s="92" t="s">
        <v>371</v>
      </c>
      <c r="Z1898" s="93">
        <f t="shared" si="364"/>
        <v>0</v>
      </c>
      <c r="AB1898" s="93">
        <f t="shared" si="365"/>
        <v>0</v>
      </c>
      <c r="AC1898" s="93">
        <f t="shared" si="366"/>
        <v>0</v>
      </c>
      <c r="AD1898" s="93">
        <f t="shared" si="367"/>
        <v>0</v>
      </c>
      <c r="AE1898" s="93">
        <f t="shared" si="368"/>
        <v>0</v>
      </c>
      <c r="AF1898" s="93">
        <f t="shared" si="369"/>
        <v>0</v>
      </c>
      <c r="AG1898" s="93">
        <f t="shared" si="370"/>
        <v>0</v>
      </c>
      <c r="AH1898" s="93">
        <f t="shared" si="371"/>
        <v>0</v>
      </c>
      <c r="AI1898" s="88" t="s">
        <v>55</v>
      </c>
      <c r="AJ1898" s="93">
        <f t="shared" si="372"/>
        <v>0</v>
      </c>
      <c r="AK1898" s="93">
        <f t="shared" si="373"/>
        <v>0</v>
      </c>
      <c r="AL1898" s="93">
        <f t="shared" si="374"/>
        <v>0</v>
      </c>
      <c r="AN1898" s="93">
        <v>21</v>
      </c>
      <c r="AO1898" s="93">
        <f>H1898*0.329044988</f>
        <v>0</v>
      </c>
      <c r="AP1898" s="93">
        <f>H1898*(1-0.329044988)</f>
        <v>0</v>
      </c>
      <c r="AQ1898" s="94" t="s">
        <v>148</v>
      </c>
      <c r="AV1898" s="93">
        <f t="shared" si="375"/>
        <v>0</v>
      </c>
      <c r="AW1898" s="93">
        <f t="shared" si="376"/>
        <v>0</v>
      </c>
      <c r="AX1898" s="93">
        <f t="shared" si="377"/>
        <v>0</v>
      </c>
      <c r="AY1898" s="94" t="s">
        <v>2510</v>
      </c>
      <c r="AZ1898" s="94" t="s">
        <v>2247</v>
      </c>
      <c r="BA1898" s="88" t="s">
        <v>67</v>
      </c>
      <c r="BC1898" s="93">
        <f t="shared" si="378"/>
        <v>0</v>
      </c>
      <c r="BD1898" s="93">
        <f t="shared" si="379"/>
        <v>0</v>
      </c>
      <c r="BE1898" s="93">
        <v>0</v>
      </c>
      <c r="BF1898" s="93">
        <f t="shared" si="380"/>
        <v>0</v>
      </c>
      <c r="BH1898" s="93">
        <f t="shared" si="381"/>
        <v>0</v>
      </c>
      <c r="BI1898" s="93">
        <f t="shared" si="382"/>
        <v>0</v>
      </c>
      <c r="BJ1898" s="93">
        <f t="shared" si="383"/>
        <v>0</v>
      </c>
      <c r="BK1898" s="93"/>
      <c r="BL1898" s="93">
        <v>767</v>
      </c>
      <c r="BW1898" s="93" t="str">
        <f t="shared" si="384"/>
        <v>21</v>
      </c>
      <c r="BX1898" s="2" t="s">
        <v>2519</v>
      </c>
    </row>
    <row r="1899" spans="1:76" s="81" customFormat="1" ht="25.5" x14ac:dyDescent="0.25">
      <c r="A1899" s="66" t="s">
        <v>2523</v>
      </c>
      <c r="B1899" s="72" t="s">
        <v>55</v>
      </c>
      <c r="C1899" s="72" t="s">
        <v>2521</v>
      </c>
      <c r="D1899" s="174" t="s">
        <v>2522</v>
      </c>
      <c r="E1899" s="174"/>
      <c r="F1899" s="72" t="s">
        <v>203</v>
      </c>
      <c r="G1899" s="90">
        <v>2</v>
      </c>
      <c r="H1899" s="91"/>
      <c r="I1899" s="92" t="s">
        <v>63</v>
      </c>
      <c r="J1899" s="90">
        <f t="shared" si="359"/>
        <v>0</v>
      </c>
      <c r="K1899" s="90">
        <f t="shared" si="360"/>
        <v>0</v>
      </c>
      <c r="L1899" s="90">
        <f t="shared" si="361"/>
        <v>0</v>
      </c>
      <c r="M1899" s="90">
        <f t="shared" si="362"/>
        <v>0</v>
      </c>
      <c r="N1899" s="90">
        <v>0</v>
      </c>
      <c r="O1899" s="90">
        <f t="shared" si="363"/>
        <v>0</v>
      </c>
      <c r="P1899" s="92" t="s">
        <v>371</v>
      </c>
      <c r="Z1899" s="93">
        <f t="shared" si="364"/>
        <v>0</v>
      </c>
      <c r="AB1899" s="93">
        <f t="shared" si="365"/>
        <v>0</v>
      </c>
      <c r="AC1899" s="93">
        <f t="shared" si="366"/>
        <v>0</v>
      </c>
      <c r="AD1899" s="93">
        <f t="shared" si="367"/>
        <v>0</v>
      </c>
      <c r="AE1899" s="93">
        <f t="shared" si="368"/>
        <v>0</v>
      </c>
      <c r="AF1899" s="93">
        <f t="shared" si="369"/>
        <v>0</v>
      </c>
      <c r="AG1899" s="93">
        <f t="shared" si="370"/>
        <v>0</v>
      </c>
      <c r="AH1899" s="93">
        <f t="shared" si="371"/>
        <v>0</v>
      </c>
      <c r="AI1899" s="88" t="s">
        <v>55</v>
      </c>
      <c r="AJ1899" s="93">
        <f t="shared" si="372"/>
        <v>0</v>
      </c>
      <c r="AK1899" s="93">
        <f t="shared" si="373"/>
        <v>0</v>
      </c>
      <c r="AL1899" s="93">
        <f t="shared" si="374"/>
        <v>0</v>
      </c>
      <c r="AN1899" s="93">
        <v>21</v>
      </c>
      <c r="AO1899" s="93">
        <f>H1899*0.329046424</f>
        <v>0</v>
      </c>
      <c r="AP1899" s="93">
        <f>H1899*(1-0.329046424)</f>
        <v>0</v>
      </c>
      <c r="AQ1899" s="94" t="s">
        <v>148</v>
      </c>
      <c r="AV1899" s="93">
        <f t="shared" si="375"/>
        <v>0</v>
      </c>
      <c r="AW1899" s="93">
        <f t="shared" si="376"/>
        <v>0</v>
      </c>
      <c r="AX1899" s="93">
        <f t="shared" si="377"/>
        <v>0</v>
      </c>
      <c r="AY1899" s="94" t="s">
        <v>2510</v>
      </c>
      <c r="AZ1899" s="94" t="s">
        <v>2247</v>
      </c>
      <c r="BA1899" s="88" t="s">
        <v>67</v>
      </c>
      <c r="BC1899" s="93">
        <f t="shared" si="378"/>
        <v>0</v>
      </c>
      <c r="BD1899" s="93">
        <f t="shared" si="379"/>
        <v>0</v>
      </c>
      <c r="BE1899" s="93">
        <v>0</v>
      </c>
      <c r="BF1899" s="93">
        <f t="shared" si="380"/>
        <v>0</v>
      </c>
      <c r="BH1899" s="93">
        <f t="shared" si="381"/>
        <v>0</v>
      </c>
      <c r="BI1899" s="93">
        <f t="shared" si="382"/>
        <v>0</v>
      </c>
      <c r="BJ1899" s="93">
        <f t="shared" si="383"/>
        <v>0</v>
      </c>
      <c r="BK1899" s="93"/>
      <c r="BL1899" s="93">
        <v>767</v>
      </c>
      <c r="BW1899" s="93" t="str">
        <f t="shared" si="384"/>
        <v>21</v>
      </c>
      <c r="BX1899" s="2" t="s">
        <v>2522</v>
      </c>
    </row>
    <row r="1900" spans="1:76" s="81" customFormat="1" ht="25.5" x14ac:dyDescent="0.25">
      <c r="A1900" s="66" t="s">
        <v>2526</v>
      </c>
      <c r="B1900" s="72" t="s">
        <v>55</v>
      </c>
      <c r="C1900" s="72" t="s">
        <v>2524</v>
      </c>
      <c r="D1900" s="174" t="s">
        <v>2525</v>
      </c>
      <c r="E1900" s="174"/>
      <c r="F1900" s="72" t="s">
        <v>203</v>
      </c>
      <c r="G1900" s="90">
        <v>2</v>
      </c>
      <c r="H1900" s="91"/>
      <c r="I1900" s="92" t="s">
        <v>63</v>
      </c>
      <c r="J1900" s="90">
        <f t="shared" si="359"/>
        <v>0</v>
      </c>
      <c r="K1900" s="90">
        <f t="shared" si="360"/>
        <v>0</v>
      </c>
      <c r="L1900" s="90">
        <f t="shared" si="361"/>
        <v>0</v>
      </c>
      <c r="M1900" s="90">
        <f t="shared" si="362"/>
        <v>0</v>
      </c>
      <c r="N1900" s="90">
        <v>0</v>
      </c>
      <c r="O1900" s="90">
        <f t="shared" si="363"/>
        <v>0</v>
      </c>
      <c r="P1900" s="92" t="s">
        <v>371</v>
      </c>
      <c r="Z1900" s="93">
        <f t="shared" si="364"/>
        <v>0</v>
      </c>
      <c r="AB1900" s="93">
        <f t="shared" si="365"/>
        <v>0</v>
      </c>
      <c r="AC1900" s="93">
        <f t="shared" si="366"/>
        <v>0</v>
      </c>
      <c r="AD1900" s="93">
        <f t="shared" si="367"/>
        <v>0</v>
      </c>
      <c r="AE1900" s="93">
        <f t="shared" si="368"/>
        <v>0</v>
      </c>
      <c r="AF1900" s="93">
        <f t="shared" si="369"/>
        <v>0</v>
      </c>
      <c r="AG1900" s="93">
        <f t="shared" si="370"/>
        <v>0</v>
      </c>
      <c r="AH1900" s="93">
        <f t="shared" si="371"/>
        <v>0</v>
      </c>
      <c r="AI1900" s="88" t="s">
        <v>55</v>
      </c>
      <c r="AJ1900" s="93">
        <f t="shared" si="372"/>
        <v>0</v>
      </c>
      <c r="AK1900" s="93">
        <f t="shared" si="373"/>
        <v>0</v>
      </c>
      <c r="AL1900" s="93">
        <f t="shared" si="374"/>
        <v>0</v>
      </c>
      <c r="AN1900" s="93">
        <v>21</v>
      </c>
      <c r="AO1900" s="93">
        <f>H1900*0.329044628</f>
        <v>0</v>
      </c>
      <c r="AP1900" s="93">
        <f>H1900*(1-0.329044628)</f>
        <v>0</v>
      </c>
      <c r="AQ1900" s="94" t="s">
        <v>148</v>
      </c>
      <c r="AV1900" s="93">
        <f t="shared" si="375"/>
        <v>0</v>
      </c>
      <c r="AW1900" s="93">
        <f t="shared" si="376"/>
        <v>0</v>
      </c>
      <c r="AX1900" s="93">
        <f t="shared" si="377"/>
        <v>0</v>
      </c>
      <c r="AY1900" s="94" t="s">
        <v>2510</v>
      </c>
      <c r="AZ1900" s="94" t="s">
        <v>2247</v>
      </c>
      <c r="BA1900" s="88" t="s">
        <v>67</v>
      </c>
      <c r="BC1900" s="93">
        <f t="shared" si="378"/>
        <v>0</v>
      </c>
      <c r="BD1900" s="93">
        <f t="shared" si="379"/>
        <v>0</v>
      </c>
      <c r="BE1900" s="93">
        <v>0</v>
      </c>
      <c r="BF1900" s="93">
        <f t="shared" si="380"/>
        <v>0</v>
      </c>
      <c r="BH1900" s="93">
        <f t="shared" si="381"/>
        <v>0</v>
      </c>
      <c r="BI1900" s="93">
        <f t="shared" si="382"/>
        <v>0</v>
      </c>
      <c r="BJ1900" s="93">
        <f t="shared" si="383"/>
        <v>0</v>
      </c>
      <c r="BK1900" s="93"/>
      <c r="BL1900" s="93">
        <v>767</v>
      </c>
      <c r="BW1900" s="93" t="str">
        <f t="shared" si="384"/>
        <v>21</v>
      </c>
      <c r="BX1900" s="2" t="s">
        <v>2525</v>
      </c>
    </row>
    <row r="1901" spans="1:76" s="81" customFormat="1" ht="25.5" x14ac:dyDescent="0.25">
      <c r="A1901" s="66" t="s">
        <v>2529</v>
      </c>
      <c r="B1901" s="72" t="s">
        <v>55</v>
      </c>
      <c r="C1901" s="72" t="s">
        <v>2527</v>
      </c>
      <c r="D1901" s="174" t="s">
        <v>2528</v>
      </c>
      <c r="E1901" s="174"/>
      <c r="F1901" s="72" t="s">
        <v>203</v>
      </c>
      <c r="G1901" s="90">
        <v>1</v>
      </c>
      <c r="H1901" s="91"/>
      <c r="I1901" s="92" t="s">
        <v>63</v>
      </c>
      <c r="J1901" s="90">
        <f t="shared" si="359"/>
        <v>0</v>
      </c>
      <c r="K1901" s="90">
        <f t="shared" si="360"/>
        <v>0</v>
      </c>
      <c r="L1901" s="90">
        <f t="shared" si="361"/>
        <v>0</v>
      </c>
      <c r="M1901" s="90">
        <f t="shared" si="362"/>
        <v>0</v>
      </c>
      <c r="N1901" s="90">
        <v>0</v>
      </c>
      <c r="O1901" s="90">
        <f t="shared" si="363"/>
        <v>0</v>
      </c>
      <c r="P1901" s="92" t="s">
        <v>371</v>
      </c>
      <c r="Z1901" s="93">
        <f t="shared" si="364"/>
        <v>0</v>
      </c>
      <c r="AB1901" s="93">
        <f t="shared" si="365"/>
        <v>0</v>
      </c>
      <c r="AC1901" s="93">
        <f t="shared" si="366"/>
        <v>0</v>
      </c>
      <c r="AD1901" s="93">
        <f t="shared" si="367"/>
        <v>0</v>
      </c>
      <c r="AE1901" s="93">
        <f t="shared" si="368"/>
        <v>0</v>
      </c>
      <c r="AF1901" s="93">
        <f t="shared" si="369"/>
        <v>0</v>
      </c>
      <c r="AG1901" s="93">
        <f t="shared" si="370"/>
        <v>0</v>
      </c>
      <c r="AH1901" s="93">
        <f t="shared" si="371"/>
        <v>0</v>
      </c>
      <c r="AI1901" s="88" t="s">
        <v>55</v>
      </c>
      <c r="AJ1901" s="93">
        <f t="shared" si="372"/>
        <v>0</v>
      </c>
      <c r="AK1901" s="93">
        <f t="shared" si="373"/>
        <v>0</v>
      </c>
      <c r="AL1901" s="93">
        <f t="shared" si="374"/>
        <v>0</v>
      </c>
      <c r="AN1901" s="93">
        <v>21</v>
      </c>
      <c r="AO1901" s="93">
        <f>H1901*0.329041735</f>
        <v>0</v>
      </c>
      <c r="AP1901" s="93">
        <f>H1901*(1-0.329041735)</f>
        <v>0</v>
      </c>
      <c r="AQ1901" s="94" t="s">
        <v>148</v>
      </c>
      <c r="AV1901" s="93">
        <f t="shared" si="375"/>
        <v>0</v>
      </c>
      <c r="AW1901" s="93">
        <f t="shared" si="376"/>
        <v>0</v>
      </c>
      <c r="AX1901" s="93">
        <f t="shared" si="377"/>
        <v>0</v>
      </c>
      <c r="AY1901" s="94" t="s">
        <v>2510</v>
      </c>
      <c r="AZ1901" s="94" t="s">
        <v>2247</v>
      </c>
      <c r="BA1901" s="88" t="s">
        <v>67</v>
      </c>
      <c r="BC1901" s="93">
        <f t="shared" si="378"/>
        <v>0</v>
      </c>
      <c r="BD1901" s="93">
        <f t="shared" si="379"/>
        <v>0</v>
      </c>
      <c r="BE1901" s="93">
        <v>0</v>
      </c>
      <c r="BF1901" s="93">
        <f t="shared" si="380"/>
        <v>0</v>
      </c>
      <c r="BH1901" s="93">
        <f t="shared" si="381"/>
        <v>0</v>
      </c>
      <c r="BI1901" s="93">
        <f t="shared" si="382"/>
        <v>0</v>
      </c>
      <c r="BJ1901" s="93">
        <f t="shared" si="383"/>
        <v>0</v>
      </c>
      <c r="BK1901" s="93"/>
      <c r="BL1901" s="93">
        <v>767</v>
      </c>
      <c r="BW1901" s="93" t="str">
        <f t="shared" si="384"/>
        <v>21</v>
      </c>
      <c r="BX1901" s="2" t="s">
        <v>2528</v>
      </c>
    </row>
    <row r="1902" spans="1:76" s="81" customFormat="1" ht="25.5" x14ac:dyDescent="0.25">
      <c r="A1902" s="66" t="s">
        <v>2532</v>
      </c>
      <c r="B1902" s="72" t="s">
        <v>55</v>
      </c>
      <c r="C1902" s="72" t="s">
        <v>2530</v>
      </c>
      <c r="D1902" s="174" t="s">
        <v>2531</v>
      </c>
      <c r="E1902" s="174"/>
      <c r="F1902" s="72" t="s">
        <v>203</v>
      </c>
      <c r="G1902" s="90">
        <v>1</v>
      </c>
      <c r="H1902" s="91"/>
      <c r="I1902" s="92" t="s">
        <v>63</v>
      </c>
      <c r="J1902" s="90">
        <f t="shared" si="359"/>
        <v>0</v>
      </c>
      <c r="K1902" s="90">
        <f t="shared" si="360"/>
        <v>0</v>
      </c>
      <c r="L1902" s="90">
        <f t="shared" si="361"/>
        <v>0</v>
      </c>
      <c r="M1902" s="90">
        <f t="shared" si="362"/>
        <v>0</v>
      </c>
      <c r="N1902" s="90">
        <v>0</v>
      </c>
      <c r="O1902" s="90">
        <f t="shared" si="363"/>
        <v>0</v>
      </c>
      <c r="P1902" s="92" t="s">
        <v>578</v>
      </c>
      <c r="Z1902" s="93">
        <f t="shared" si="364"/>
        <v>0</v>
      </c>
      <c r="AB1902" s="93">
        <f t="shared" si="365"/>
        <v>0</v>
      </c>
      <c r="AC1902" s="93">
        <f t="shared" si="366"/>
        <v>0</v>
      </c>
      <c r="AD1902" s="93">
        <f t="shared" si="367"/>
        <v>0</v>
      </c>
      <c r="AE1902" s="93">
        <f t="shared" si="368"/>
        <v>0</v>
      </c>
      <c r="AF1902" s="93">
        <f t="shared" si="369"/>
        <v>0</v>
      </c>
      <c r="AG1902" s="93">
        <f t="shared" si="370"/>
        <v>0</v>
      </c>
      <c r="AH1902" s="93">
        <f t="shared" si="371"/>
        <v>0</v>
      </c>
      <c r="AI1902" s="88" t="s">
        <v>55</v>
      </c>
      <c r="AJ1902" s="93">
        <f t="shared" si="372"/>
        <v>0</v>
      </c>
      <c r="AK1902" s="93">
        <f t="shared" si="373"/>
        <v>0</v>
      </c>
      <c r="AL1902" s="93">
        <f t="shared" si="374"/>
        <v>0</v>
      </c>
      <c r="AN1902" s="93">
        <v>21</v>
      </c>
      <c r="AO1902" s="93">
        <f>H1902*0.75</f>
        <v>0</v>
      </c>
      <c r="AP1902" s="93">
        <f>H1902*(1-0.75)</f>
        <v>0</v>
      </c>
      <c r="AQ1902" s="94" t="s">
        <v>148</v>
      </c>
      <c r="AV1902" s="93">
        <f t="shared" si="375"/>
        <v>0</v>
      </c>
      <c r="AW1902" s="93">
        <f t="shared" si="376"/>
        <v>0</v>
      </c>
      <c r="AX1902" s="93">
        <f t="shared" si="377"/>
        <v>0</v>
      </c>
      <c r="AY1902" s="94" t="s">
        <v>2510</v>
      </c>
      <c r="AZ1902" s="94" t="s">
        <v>2247</v>
      </c>
      <c r="BA1902" s="88" t="s">
        <v>67</v>
      </c>
      <c r="BC1902" s="93">
        <f t="shared" si="378"/>
        <v>0</v>
      </c>
      <c r="BD1902" s="93">
        <f t="shared" si="379"/>
        <v>0</v>
      </c>
      <c r="BE1902" s="93">
        <v>0</v>
      </c>
      <c r="BF1902" s="93">
        <f t="shared" si="380"/>
        <v>0</v>
      </c>
      <c r="BH1902" s="93">
        <f t="shared" si="381"/>
        <v>0</v>
      </c>
      <c r="BI1902" s="93">
        <f t="shared" si="382"/>
        <v>0</v>
      </c>
      <c r="BJ1902" s="93">
        <f t="shared" si="383"/>
        <v>0</v>
      </c>
      <c r="BK1902" s="93"/>
      <c r="BL1902" s="93">
        <v>767</v>
      </c>
      <c r="BW1902" s="93" t="str">
        <f t="shared" si="384"/>
        <v>21</v>
      </c>
      <c r="BX1902" s="2" t="s">
        <v>2531</v>
      </c>
    </row>
    <row r="1903" spans="1:76" s="81" customFormat="1" ht="25.5" x14ac:dyDescent="0.25">
      <c r="A1903" s="66" t="s">
        <v>2535</v>
      </c>
      <c r="B1903" s="72" t="s">
        <v>55</v>
      </c>
      <c r="C1903" s="72" t="s">
        <v>2533</v>
      </c>
      <c r="D1903" s="174" t="s">
        <v>2534</v>
      </c>
      <c r="E1903" s="174"/>
      <c r="F1903" s="72" t="s">
        <v>203</v>
      </c>
      <c r="G1903" s="90">
        <v>1</v>
      </c>
      <c r="H1903" s="91"/>
      <c r="I1903" s="92" t="s">
        <v>63</v>
      </c>
      <c r="J1903" s="90">
        <f t="shared" si="359"/>
        <v>0</v>
      </c>
      <c r="K1903" s="90">
        <f t="shared" si="360"/>
        <v>0</v>
      </c>
      <c r="L1903" s="90">
        <f t="shared" si="361"/>
        <v>0</v>
      </c>
      <c r="M1903" s="90">
        <f t="shared" si="362"/>
        <v>0</v>
      </c>
      <c r="N1903" s="90">
        <v>0</v>
      </c>
      <c r="O1903" s="90">
        <f t="shared" si="363"/>
        <v>0</v>
      </c>
      <c r="P1903" s="92" t="s">
        <v>578</v>
      </c>
      <c r="Z1903" s="93">
        <f t="shared" si="364"/>
        <v>0</v>
      </c>
      <c r="AB1903" s="93">
        <f t="shared" si="365"/>
        <v>0</v>
      </c>
      <c r="AC1903" s="93">
        <f t="shared" si="366"/>
        <v>0</v>
      </c>
      <c r="AD1903" s="93">
        <f t="shared" si="367"/>
        <v>0</v>
      </c>
      <c r="AE1903" s="93">
        <f t="shared" si="368"/>
        <v>0</v>
      </c>
      <c r="AF1903" s="93">
        <f t="shared" si="369"/>
        <v>0</v>
      </c>
      <c r="AG1903" s="93">
        <f t="shared" si="370"/>
        <v>0</v>
      </c>
      <c r="AH1903" s="93">
        <f t="shared" si="371"/>
        <v>0</v>
      </c>
      <c r="AI1903" s="88" t="s">
        <v>55</v>
      </c>
      <c r="AJ1903" s="93">
        <f t="shared" si="372"/>
        <v>0</v>
      </c>
      <c r="AK1903" s="93">
        <f t="shared" si="373"/>
        <v>0</v>
      </c>
      <c r="AL1903" s="93">
        <f t="shared" si="374"/>
        <v>0</v>
      </c>
      <c r="AN1903" s="93">
        <v>21</v>
      </c>
      <c r="AO1903" s="93">
        <f>H1903*0.75</f>
        <v>0</v>
      </c>
      <c r="AP1903" s="93">
        <f>H1903*(1-0.75)</f>
        <v>0</v>
      </c>
      <c r="AQ1903" s="94" t="s">
        <v>148</v>
      </c>
      <c r="AV1903" s="93">
        <f t="shared" si="375"/>
        <v>0</v>
      </c>
      <c r="AW1903" s="93">
        <f t="shared" si="376"/>
        <v>0</v>
      </c>
      <c r="AX1903" s="93">
        <f t="shared" si="377"/>
        <v>0</v>
      </c>
      <c r="AY1903" s="94" t="s">
        <v>2510</v>
      </c>
      <c r="AZ1903" s="94" t="s">
        <v>2247</v>
      </c>
      <c r="BA1903" s="88" t="s">
        <v>67</v>
      </c>
      <c r="BC1903" s="93">
        <f t="shared" si="378"/>
        <v>0</v>
      </c>
      <c r="BD1903" s="93">
        <f t="shared" si="379"/>
        <v>0</v>
      </c>
      <c r="BE1903" s="93">
        <v>0</v>
      </c>
      <c r="BF1903" s="93">
        <f t="shared" si="380"/>
        <v>0</v>
      </c>
      <c r="BH1903" s="93">
        <f t="shared" si="381"/>
        <v>0</v>
      </c>
      <c r="BI1903" s="93">
        <f t="shared" si="382"/>
        <v>0</v>
      </c>
      <c r="BJ1903" s="93">
        <f t="shared" si="383"/>
        <v>0</v>
      </c>
      <c r="BK1903" s="93"/>
      <c r="BL1903" s="93">
        <v>767</v>
      </c>
      <c r="BW1903" s="93" t="str">
        <f t="shared" si="384"/>
        <v>21</v>
      </c>
      <c r="BX1903" s="2" t="s">
        <v>2534</v>
      </c>
    </row>
    <row r="1904" spans="1:76" s="81" customFormat="1" ht="25.5" x14ac:dyDescent="0.25">
      <c r="A1904" s="66" t="s">
        <v>2538</v>
      </c>
      <c r="B1904" s="72" t="s">
        <v>55</v>
      </c>
      <c r="C1904" s="72" t="s">
        <v>2536</v>
      </c>
      <c r="D1904" s="174" t="s">
        <v>2537</v>
      </c>
      <c r="E1904" s="174"/>
      <c r="F1904" s="72" t="s">
        <v>203</v>
      </c>
      <c r="G1904" s="90">
        <v>1</v>
      </c>
      <c r="H1904" s="91"/>
      <c r="I1904" s="92" t="s">
        <v>63</v>
      </c>
      <c r="J1904" s="90">
        <f t="shared" si="359"/>
        <v>0</v>
      </c>
      <c r="K1904" s="90">
        <f t="shared" si="360"/>
        <v>0</v>
      </c>
      <c r="L1904" s="90">
        <f t="shared" si="361"/>
        <v>0</v>
      </c>
      <c r="M1904" s="90">
        <f t="shared" si="362"/>
        <v>0</v>
      </c>
      <c r="N1904" s="90">
        <v>0</v>
      </c>
      <c r="O1904" s="90">
        <f t="shared" si="363"/>
        <v>0</v>
      </c>
      <c r="P1904" s="92" t="s">
        <v>578</v>
      </c>
      <c r="Z1904" s="93">
        <f t="shared" si="364"/>
        <v>0</v>
      </c>
      <c r="AB1904" s="93">
        <f t="shared" si="365"/>
        <v>0</v>
      </c>
      <c r="AC1904" s="93">
        <f t="shared" si="366"/>
        <v>0</v>
      </c>
      <c r="AD1904" s="93">
        <f t="shared" si="367"/>
        <v>0</v>
      </c>
      <c r="AE1904" s="93">
        <f t="shared" si="368"/>
        <v>0</v>
      </c>
      <c r="AF1904" s="93">
        <f t="shared" si="369"/>
        <v>0</v>
      </c>
      <c r="AG1904" s="93">
        <f t="shared" si="370"/>
        <v>0</v>
      </c>
      <c r="AH1904" s="93">
        <f t="shared" si="371"/>
        <v>0</v>
      </c>
      <c r="AI1904" s="88" t="s">
        <v>55</v>
      </c>
      <c r="AJ1904" s="93">
        <f t="shared" si="372"/>
        <v>0</v>
      </c>
      <c r="AK1904" s="93">
        <f t="shared" si="373"/>
        <v>0</v>
      </c>
      <c r="AL1904" s="93">
        <f t="shared" si="374"/>
        <v>0</v>
      </c>
      <c r="AN1904" s="93">
        <v>21</v>
      </c>
      <c r="AO1904" s="93">
        <f>H1904*0.8</f>
        <v>0</v>
      </c>
      <c r="AP1904" s="93">
        <f>H1904*(1-0.8)</f>
        <v>0</v>
      </c>
      <c r="AQ1904" s="94" t="s">
        <v>148</v>
      </c>
      <c r="AV1904" s="93">
        <f t="shared" si="375"/>
        <v>0</v>
      </c>
      <c r="AW1904" s="93">
        <f t="shared" si="376"/>
        <v>0</v>
      </c>
      <c r="AX1904" s="93">
        <f t="shared" si="377"/>
        <v>0</v>
      </c>
      <c r="AY1904" s="94" t="s">
        <v>2510</v>
      </c>
      <c r="AZ1904" s="94" t="s">
        <v>2247</v>
      </c>
      <c r="BA1904" s="88" t="s">
        <v>67</v>
      </c>
      <c r="BC1904" s="93">
        <f t="shared" si="378"/>
        <v>0</v>
      </c>
      <c r="BD1904" s="93">
        <f t="shared" si="379"/>
        <v>0</v>
      </c>
      <c r="BE1904" s="93">
        <v>0</v>
      </c>
      <c r="BF1904" s="93">
        <f t="shared" si="380"/>
        <v>0</v>
      </c>
      <c r="BH1904" s="93">
        <f t="shared" si="381"/>
        <v>0</v>
      </c>
      <c r="BI1904" s="93">
        <f t="shared" si="382"/>
        <v>0</v>
      </c>
      <c r="BJ1904" s="93">
        <f t="shared" si="383"/>
        <v>0</v>
      </c>
      <c r="BK1904" s="93"/>
      <c r="BL1904" s="93">
        <v>767</v>
      </c>
      <c r="BW1904" s="93" t="str">
        <f t="shared" si="384"/>
        <v>21</v>
      </c>
      <c r="BX1904" s="2" t="s">
        <v>2537</v>
      </c>
    </row>
    <row r="1905" spans="1:76" s="81" customFormat="1" ht="25.5" x14ac:dyDescent="0.25">
      <c r="A1905" s="66" t="s">
        <v>2541</v>
      </c>
      <c r="B1905" s="72" t="s">
        <v>55</v>
      </c>
      <c r="C1905" s="72" t="s">
        <v>2539</v>
      </c>
      <c r="D1905" s="174" t="s">
        <v>2540</v>
      </c>
      <c r="E1905" s="174"/>
      <c r="F1905" s="72" t="s">
        <v>203</v>
      </c>
      <c r="G1905" s="90">
        <v>1</v>
      </c>
      <c r="H1905" s="91"/>
      <c r="I1905" s="92" t="s">
        <v>63</v>
      </c>
      <c r="J1905" s="90">
        <f t="shared" si="359"/>
        <v>0</v>
      </c>
      <c r="K1905" s="90">
        <f t="shared" si="360"/>
        <v>0</v>
      </c>
      <c r="L1905" s="90">
        <f t="shared" si="361"/>
        <v>0</v>
      </c>
      <c r="M1905" s="90">
        <f t="shared" si="362"/>
        <v>0</v>
      </c>
      <c r="N1905" s="90">
        <v>0</v>
      </c>
      <c r="O1905" s="90">
        <f t="shared" si="363"/>
        <v>0</v>
      </c>
      <c r="P1905" s="92" t="s">
        <v>578</v>
      </c>
      <c r="Z1905" s="93">
        <f t="shared" si="364"/>
        <v>0</v>
      </c>
      <c r="AB1905" s="93">
        <f t="shared" si="365"/>
        <v>0</v>
      </c>
      <c r="AC1905" s="93">
        <f t="shared" si="366"/>
        <v>0</v>
      </c>
      <c r="AD1905" s="93">
        <f t="shared" si="367"/>
        <v>0</v>
      </c>
      <c r="AE1905" s="93">
        <f t="shared" si="368"/>
        <v>0</v>
      </c>
      <c r="AF1905" s="93">
        <f t="shared" si="369"/>
        <v>0</v>
      </c>
      <c r="AG1905" s="93">
        <f t="shared" si="370"/>
        <v>0</v>
      </c>
      <c r="AH1905" s="93">
        <f t="shared" si="371"/>
        <v>0</v>
      </c>
      <c r="AI1905" s="88" t="s">
        <v>55</v>
      </c>
      <c r="AJ1905" s="93">
        <f t="shared" si="372"/>
        <v>0</v>
      </c>
      <c r="AK1905" s="93">
        <f t="shared" si="373"/>
        <v>0</v>
      </c>
      <c r="AL1905" s="93">
        <f t="shared" si="374"/>
        <v>0</v>
      </c>
      <c r="AN1905" s="93">
        <v>21</v>
      </c>
      <c r="AO1905" s="93">
        <f>H1905*0.78</f>
        <v>0</v>
      </c>
      <c r="AP1905" s="93">
        <f>H1905*(1-0.78)</f>
        <v>0</v>
      </c>
      <c r="AQ1905" s="94" t="s">
        <v>148</v>
      </c>
      <c r="AV1905" s="93">
        <f t="shared" si="375"/>
        <v>0</v>
      </c>
      <c r="AW1905" s="93">
        <f t="shared" si="376"/>
        <v>0</v>
      </c>
      <c r="AX1905" s="93">
        <f t="shared" si="377"/>
        <v>0</v>
      </c>
      <c r="AY1905" s="94" t="s">
        <v>2510</v>
      </c>
      <c r="AZ1905" s="94" t="s">
        <v>2247</v>
      </c>
      <c r="BA1905" s="88" t="s">
        <v>67</v>
      </c>
      <c r="BC1905" s="93">
        <f t="shared" si="378"/>
        <v>0</v>
      </c>
      <c r="BD1905" s="93">
        <f t="shared" si="379"/>
        <v>0</v>
      </c>
      <c r="BE1905" s="93">
        <v>0</v>
      </c>
      <c r="BF1905" s="93">
        <f t="shared" si="380"/>
        <v>0</v>
      </c>
      <c r="BH1905" s="93">
        <f t="shared" si="381"/>
        <v>0</v>
      </c>
      <c r="BI1905" s="93">
        <f t="shared" si="382"/>
        <v>0</v>
      </c>
      <c r="BJ1905" s="93">
        <f t="shared" si="383"/>
        <v>0</v>
      </c>
      <c r="BK1905" s="93"/>
      <c r="BL1905" s="93">
        <v>767</v>
      </c>
      <c r="BW1905" s="93" t="str">
        <f t="shared" si="384"/>
        <v>21</v>
      </c>
      <c r="BX1905" s="2" t="s">
        <v>2540</v>
      </c>
    </row>
    <row r="1906" spans="1:76" s="81" customFormat="1" ht="25.5" x14ac:dyDescent="0.25">
      <c r="A1906" s="66" t="s">
        <v>2544</v>
      </c>
      <c r="B1906" s="72" t="s">
        <v>55</v>
      </c>
      <c r="C1906" s="72" t="s">
        <v>2542</v>
      </c>
      <c r="D1906" s="174" t="s">
        <v>2543</v>
      </c>
      <c r="E1906" s="174"/>
      <c r="F1906" s="72" t="s">
        <v>203</v>
      </c>
      <c r="G1906" s="90">
        <v>9</v>
      </c>
      <c r="H1906" s="91"/>
      <c r="I1906" s="92" t="s">
        <v>63</v>
      </c>
      <c r="J1906" s="90">
        <f t="shared" si="359"/>
        <v>0</v>
      </c>
      <c r="K1906" s="90">
        <f t="shared" si="360"/>
        <v>0</v>
      </c>
      <c r="L1906" s="90">
        <f t="shared" si="361"/>
        <v>0</v>
      </c>
      <c r="M1906" s="90">
        <f t="shared" si="362"/>
        <v>0</v>
      </c>
      <c r="N1906" s="90">
        <v>0</v>
      </c>
      <c r="O1906" s="90">
        <f t="shared" si="363"/>
        <v>0</v>
      </c>
      <c r="P1906" s="92" t="s">
        <v>578</v>
      </c>
      <c r="Z1906" s="93">
        <f t="shared" si="364"/>
        <v>0</v>
      </c>
      <c r="AB1906" s="93">
        <f t="shared" si="365"/>
        <v>0</v>
      </c>
      <c r="AC1906" s="93">
        <f t="shared" si="366"/>
        <v>0</v>
      </c>
      <c r="AD1906" s="93">
        <f t="shared" si="367"/>
        <v>0</v>
      </c>
      <c r="AE1906" s="93">
        <f t="shared" si="368"/>
        <v>0</v>
      </c>
      <c r="AF1906" s="93">
        <f t="shared" si="369"/>
        <v>0</v>
      </c>
      <c r="AG1906" s="93">
        <f t="shared" si="370"/>
        <v>0</v>
      </c>
      <c r="AH1906" s="93">
        <f t="shared" si="371"/>
        <v>0</v>
      </c>
      <c r="AI1906" s="88" t="s">
        <v>55</v>
      </c>
      <c r="AJ1906" s="93">
        <f t="shared" si="372"/>
        <v>0</v>
      </c>
      <c r="AK1906" s="93">
        <f t="shared" si="373"/>
        <v>0</v>
      </c>
      <c r="AL1906" s="93">
        <f t="shared" si="374"/>
        <v>0</v>
      </c>
      <c r="AN1906" s="93">
        <v>21</v>
      </c>
      <c r="AO1906" s="93">
        <f>H1906*0.78</f>
        <v>0</v>
      </c>
      <c r="AP1906" s="93">
        <f>H1906*(1-0.78)</f>
        <v>0</v>
      </c>
      <c r="AQ1906" s="94" t="s">
        <v>148</v>
      </c>
      <c r="AV1906" s="93">
        <f t="shared" si="375"/>
        <v>0</v>
      </c>
      <c r="AW1906" s="93">
        <f t="shared" si="376"/>
        <v>0</v>
      </c>
      <c r="AX1906" s="93">
        <f t="shared" si="377"/>
        <v>0</v>
      </c>
      <c r="AY1906" s="94" t="s">
        <v>2510</v>
      </c>
      <c r="AZ1906" s="94" t="s">
        <v>2247</v>
      </c>
      <c r="BA1906" s="88" t="s">
        <v>67</v>
      </c>
      <c r="BC1906" s="93">
        <f t="shared" si="378"/>
        <v>0</v>
      </c>
      <c r="BD1906" s="93">
        <f t="shared" si="379"/>
        <v>0</v>
      </c>
      <c r="BE1906" s="93">
        <v>0</v>
      </c>
      <c r="BF1906" s="93">
        <f t="shared" si="380"/>
        <v>0</v>
      </c>
      <c r="BH1906" s="93">
        <f t="shared" si="381"/>
        <v>0</v>
      </c>
      <c r="BI1906" s="93">
        <f t="shared" si="382"/>
        <v>0</v>
      </c>
      <c r="BJ1906" s="93">
        <f t="shared" si="383"/>
        <v>0</v>
      </c>
      <c r="BK1906" s="93"/>
      <c r="BL1906" s="93">
        <v>767</v>
      </c>
      <c r="BW1906" s="93" t="str">
        <f t="shared" si="384"/>
        <v>21</v>
      </c>
      <c r="BX1906" s="2" t="s">
        <v>2543</v>
      </c>
    </row>
    <row r="1907" spans="1:76" s="81" customFormat="1" ht="25.5" x14ac:dyDescent="0.25">
      <c r="A1907" s="66" t="s">
        <v>2547</v>
      </c>
      <c r="B1907" s="72" t="s">
        <v>55</v>
      </c>
      <c r="C1907" s="72" t="s">
        <v>2545</v>
      </c>
      <c r="D1907" s="174" t="s">
        <v>2546</v>
      </c>
      <c r="E1907" s="174"/>
      <c r="F1907" s="72" t="s">
        <v>203</v>
      </c>
      <c r="G1907" s="90">
        <v>1</v>
      </c>
      <c r="H1907" s="91"/>
      <c r="I1907" s="92" t="s">
        <v>63</v>
      </c>
      <c r="J1907" s="90">
        <f t="shared" si="359"/>
        <v>0</v>
      </c>
      <c r="K1907" s="90">
        <f t="shared" si="360"/>
        <v>0</v>
      </c>
      <c r="L1907" s="90">
        <f t="shared" si="361"/>
        <v>0</v>
      </c>
      <c r="M1907" s="90">
        <f t="shared" si="362"/>
        <v>0</v>
      </c>
      <c r="N1907" s="90">
        <v>0</v>
      </c>
      <c r="O1907" s="90">
        <f t="shared" si="363"/>
        <v>0</v>
      </c>
      <c r="P1907" s="92" t="s">
        <v>578</v>
      </c>
      <c r="Z1907" s="93">
        <f t="shared" si="364"/>
        <v>0</v>
      </c>
      <c r="AB1907" s="93">
        <f t="shared" si="365"/>
        <v>0</v>
      </c>
      <c r="AC1907" s="93">
        <f t="shared" si="366"/>
        <v>0</v>
      </c>
      <c r="AD1907" s="93">
        <f t="shared" si="367"/>
        <v>0</v>
      </c>
      <c r="AE1907" s="93">
        <f t="shared" si="368"/>
        <v>0</v>
      </c>
      <c r="AF1907" s="93">
        <f t="shared" si="369"/>
        <v>0</v>
      </c>
      <c r="AG1907" s="93">
        <f t="shared" si="370"/>
        <v>0</v>
      </c>
      <c r="AH1907" s="93">
        <f t="shared" si="371"/>
        <v>0</v>
      </c>
      <c r="AI1907" s="88" t="s">
        <v>55</v>
      </c>
      <c r="AJ1907" s="93">
        <f t="shared" si="372"/>
        <v>0</v>
      </c>
      <c r="AK1907" s="93">
        <f t="shared" si="373"/>
        <v>0</v>
      </c>
      <c r="AL1907" s="93">
        <f t="shared" si="374"/>
        <v>0</v>
      </c>
      <c r="AN1907" s="93">
        <v>21</v>
      </c>
      <c r="AO1907" s="93">
        <f>H1907*0.78</f>
        <v>0</v>
      </c>
      <c r="AP1907" s="93">
        <f>H1907*(1-0.78)</f>
        <v>0</v>
      </c>
      <c r="AQ1907" s="94" t="s">
        <v>148</v>
      </c>
      <c r="AV1907" s="93">
        <f t="shared" si="375"/>
        <v>0</v>
      </c>
      <c r="AW1907" s="93">
        <f t="shared" si="376"/>
        <v>0</v>
      </c>
      <c r="AX1907" s="93">
        <f t="shared" si="377"/>
        <v>0</v>
      </c>
      <c r="AY1907" s="94" t="s">
        <v>2510</v>
      </c>
      <c r="AZ1907" s="94" t="s">
        <v>2247</v>
      </c>
      <c r="BA1907" s="88" t="s">
        <v>67</v>
      </c>
      <c r="BC1907" s="93">
        <f t="shared" si="378"/>
        <v>0</v>
      </c>
      <c r="BD1907" s="93">
        <f t="shared" si="379"/>
        <v>0</v>
      </c>
      <c r="BE1907" s="93">
        <v>0</v>
      </c>
      <c r="BF1907" s="93">
        <f t="shared" si="380"/>
        <v>0</v>
      </c>
      <c r="BH1907" s="93">
        <f t="shared" si="381"/>
        <v>0</v>
      </c>
      <c r="BI1907" s="93">
        <f t="shared" si="382"/>
        <v>0</v>
      </c>
      <c r="BJ1907" s="93">
        <f t="shared" si="383"/>
        <v>0</v>
      </c>
      <c r="BK1907" s="93"/>
      <c r="BL1907" s="93">
        <v>767</v>
      </c>
      <c r="BW1907" s="93" t="str">
        <f t="shared" si="384"/>
        <v>21</v>
      </c>
      <c r="BX1907" s="2" t="s">
        <v>2546</v>
      </c>
    </row>
    <row r="1908" spans="1:76" s="81" customFormat="1" ht="25.5" x14ac:dyDescent="0.25">
      <c r="A1908" s="66" t="s">
        <v>2550</v>
      </c>
      <c r="B1908" s="72" t="s">
        <v>55</v>
      </c>
      <c r="C1908" s="72" t="s">
        <v>2548</v>
      </c>
      <c r="D1908" s="174" t="s">
        <v>2549</v>
      </c>
      <c r="E1908" s="174"/>
      <c r="F1908" s="72" t="s">
        <v>203</v>
      </c>
      <c r="G1908" s="90">
        <v>1</v>
      </c>
      <c r="H1908" s="91"/>
      <c r="I1908" s="92" t="s">
        <v>63</v>
      </c>
      <c r="J1908" s="90">
        <f t="shared" si="359"/>
        <v>0</v>
      </c>
      <c r="K1908" s="90">
        <f t="shared" si="360"/>
        <v>0</v>
      </c>
      <c r="L1908" s="90">
        <f t="shared" si="361"/>
        <v>0</v>
      </c>
      <c r="M1908" s="90">
        <f t="shared" si="362"/>
        <v>0</v>
      </c>
      <c r="N1908" s="90">
        <v>0</v>
      </c>
      <c r="O1908" s="90">
        <f t="shared" si="363"/>
        <v>0</v>
      </c>
      <c r="P1908" s="92" t="s">
        <v>578</v>
      </c>
      <c r="Z1908" s="93">
        <f t="shared" si="364"/>
        <v>0</v>
      </c>
      <c r="AB1908" s="93">
        <f t="shared" si="365"/>
        <v>0</v>
      </c>
      <c r="AC1908" s="93">
        <f t="shared" si="366"/>
        <v>0</v>
      </c>
      <c r="AD1908" s="93">
        <f t="shared" si="367"/>
        <v>0</v>
      </c>
      <c r="AE1908" s="93">
        <f t="shared" si="368"/>
        <v>0</v>
      </c>
      <c r="AF1908" s="93">
        <f t="shared" si="369"/>
        <v>0</v>
      </c>
      <c r="AG1908" s="93">
        <f t="shared" si="370"/>
        <v>0</v>
      </c>
      <c r="AH1908" s="93">
        <f t="shared" si="371"/>
        <v>0</v>
      </c>
      <c r="AI1908" s="88" t="s">
        <v>55</v>
      </c>
      <c r="AJ1908" s="93">
        <f t="shared" si="372"/>
        <v>0</v>
      </c>
      <c r="AK1908" s="93">
        <f t="shared" si="373"/>
        <v>0</v>
      </c>
      <c r="AL1908" s="93">
        <f t="shared" si="374"/>
        <v>0</v>
      </c>
      <c r="AN1908" s="93">
        <v>21</v>
      </c>
      <c r="AO1908" s="93">
        <f>H1908*0.78</f>
        <v>0</v>
      </c>
      <c r="AP1908" s="93">
        <f>H1908*(1-0.78)</f>
        <v>0</v>
      </c>
      <c r="AQ1908" s="94" t="s">
        <v>148</v>
      </c>
      <c r="AV1908" s="93">
        <f t="shared" si="375"/>
        <v>0</v>
      </c>
      <c r="AW1908" s="93">
        <f t="shared" si="376"/>
        <v>0</v>
      </c>
      <c r="AX1908" s="93">
        <f t="shared" si="377"/>
        <v>0</v>
      </c>
      <c r="AY1908" s="94" t="s">
        <v>2510</v>
      </c>
      <c r="AZ1908" s="94" t="s">
        <v>2247</v>
      </c>
      <c r="BA1908" s="88" t="s">
        <v>67</v>
      </c>
      <c r="BC1908" s="93">
        <f t="shared" si="378"/>
        <v>0</v>
      </c>
      <c r="BD1908" s="93">
        <f t="shared" si="379"/>
        <v>0</v>
      </c>
      <c r="BE1908" s="93">
        <v>0</v>
      </c>
      <c r="BF1908" s="93">
        <f t="shared" si="380"/>
        <v>0</v>
      </c>
      <c r="BH1908" s="93">
        <f t="shared" si="381"/>
        <v>0</v>
      </c>
      <c r="BI1908" s="93">
        <f t="shared" si="382"/>
        <v>0</v>
      </c>
      <c r="BJ1908" s="93">
        <f t="shared" si="383"/>
        <v>0</v>
      </c>
      <c r="BK1908" s="93"/>
      <c r="BL1908" s="93">
        <v>767</v>
      </c>
      <c r="BW1908" s="93" t="str">
        <f t="shared" si="384"/>
        <v>21</v>
      </c>
      <c r="BX1908" s="2" t="s">
        <v>2549</v>
      </c>
    </row>
    <row r="1909" spans="1:76" s="81" customFormat="1" ht="25.5" x14ac:dyDescent="0.25">
      <c r="A1909" s="66" t="s">
        <v>2553</v>
      </c>
      <c r="B1909" s="72" t="s">
        <v>55</v>
      </c>
      <c r="C1909" s="72" t="s">
        <v>2551</v>
      </c>
      <c r="D1909" s="174" t="s">
        <v>2552</v>
      </c>
      <c r="E1909" s="174"/>
      <c r="F1909" s="72" t="s">
        <v>203</v>
      </c>
      <c r="G1909" s="90">
        <v>1</v>
      </c>
      <c r="H1909" s="91"/>
      <c r="I1909" s="92" t="s">
        <v>63</v>
      </c>
      <c r="J1909" s="90">
        <f t="shared" si="359"/>
        <v>0</v>
      </c>
      <c r="K1909" s="90">
        <f t="shared" si="360"/>
        <v>0</v>
      </c>
      <c r="L1909" s="90">
        <f t="shared" si="361"/>
        <v>0</v>
      </c>
      <c r="M1909" s="90">
        <f t="shared" si="362"/>
        <v>0</v>
      </c>
      <c r="N1909" s="90">
        <v>0</v>
      </c>
      <c r="O1909" s="90">
        <f t="shared" si="363"/>
        <v>0</v>
      </c>
      <c r="P1909" s="92" t="s">
        <v>578</v>
      </c>
      <c r="Z1909" s="93">
        <f t="shared" si="364"/>
        <v>0</v>
      </c>
      <c r="AB1909" s="93">
        <f t="shared" si="365"/>
        <v>0</v>
      </c>
      <c r="AC1909" s="93">
        <f t="shared" si="366"/>
        <v>0</v>
      </c>
      <c r="AD1909" s="93">
        <f t="shared" si="367"/>
        <v>0</v>
      </c>
      <c r="AE1909" s="93">
        <f t="shared" si="368"/>
        <v>0</v>
      </c>
      <c r="AF1909" s="93">
        <f t="shared" si="369"/>
        <v>0</v>
      </c>
      <c r="AG1909" s="93">
        <f t="shared" si="370"/>
        <v>0</v>
      </c>
      <c r="AH1909" s="93">
        <f t="shared" si="371"/>
        <v>0</v>
      </c>
      <c r="AI1909" s="88" t="s">
        <v>55</v>
      </c>
      <c r="AJ1909" s="93">
        <f t="shared" si="372"/>
        <v>0</v>
      </c>
      <c r="AK1909" s="93">
        <f t="shared" si="373"/>
        <v>0</v>
      </c>
      <c r="AL1909" s="93">
        <f t="shared" si="374"/>
        <v>0</v>
      </c>
      <c r="AN1909" s="93">
        <v>21</v>
      </c>
      <c r="AO1909" s="93">
        <f>H1909*0.78</f>
        <v>0</v>
      </c>
      <c r="AP1909" s="93">
        <f>H1909*(1-0.78)</f>
        <v>0</v>
      </c>
      <c r="AQ1909" s="94" t="s">
        <v>148</v>
      </c>
      <c r="AV1909" s="93">
        <f t="shared" si="375"/>
        <v>0</v>
      </c>
      <c r="AW1909" s="93">
        <f t="shared" si="376"/>
        <v>0</v>
      </c>
      <c r="AX1909" s="93">
        <f t="shared" si="377"/>
        <v>0</v>
      </c>
      <c r="AY1909" s="94" t="s">
        <v>2510</v>
      </c>
      <c r="AZ1909" s="94" t="s">
        <v>2247</v>
      </c>
      <c r="BA1909" s="88" t="s">
        <v>67</v>
      </c>
      <c r="BC1909" s="93">
        <f t="shared" si="378"/>
        <v>0</v>
      </c>
      <c r="BD1909" s="93">
        <f t="shared" si="379"/>
        <v>0</v>
      </c>
      <c r="BE1909" s="93">
        <v>0</v>
      </c>
      <c r="BF1909" s="93">
        <f t="shared" si="380"/>
        <v>0</v>
      </c>
      <c r="BH1909" s="93">
        <f t="shared" si="381"/>
        <v>0</v>
      </c>
      <c r="BI1909" s="93">
        <f t="shared" si="382"/>
        <v>0</v>
      </c>
      <c r="BJ1909" s="93">
        <f t="shared" si="383"/>
        <v>0</v>
      </c>
      <c r="BK1909" s="93"/>
      <c r="BL1909" s="93">
        <v>767</v>
      </c>
      <c r="BW1909" s="93" t="str">
        <f t="shared" si="384"/>
        <v>21</v>
      </c>
      <c r="BX1909" s="2" t="s">
        <v>2552</v>
      </c>
    </row>
    <row r="1910" spans="1:76" s="81" customFormat="1" ht="25.5" x14ac:dyDescent="0.25">
      <c r="A1910" s="66" t="s">
        <v>2556</v>
      </c>
      <c r="B1910" s="72" t="s">
        <v>55</v>
      </c>
      <c r="C1910" s="72" t="s">
        <v>2554</v>
      </c>
      <c r="D1910" s="174" t="s">
        <v>2555</v>
      </c>
      <c r="E1910" s="174"/>
      <c r="F1910" s="72" t="s">
        <v>203</v>
      </c>
      <c r="G1910" s="90">
        <v>2</v>
      </c>
      <c r="H1910" s="91"/>
      <c r="I1910" s="92" t="s">
        <v>63</v>
      </c>
      <c r="J1910" s="90">
        <f t="shared" si="359"/>
        <v>0</v>
      </c>
      <c r="K1910" s="90">
        <f t="shared" si="360"/>
        <v>0</v>
      </c>
      <c r="L1910" s="90">
        <f t="shared" si="361"/>
        <v>0</v>
      </c>
      <c r="M1910" s="90">
        <f t="shared" si="362"/>
        <v>0</v>
      </c>
      <c r="N1910" s="90">
        <v>0</v>
      </c>
      <c r="O1910" s="90">
        <f t="shared" si="363"/>
        <v>0</v>
      </c>
      <c r="P1910" s="92" t="s">
        <v>578</v>
      </c>
      <c r="Z1910" s="93">
        <f t="shared" si="364"/>
        <v>0</v>
      </c>
      <c r="AB1910" s="93">
        <f t="shared" si="365"/>
        <v>0</v>
      </c>
      <c r="AC1910" s="93">
        <f t="shared" si="366"/>
        <v>0</v>
      </c>
      <c r="AD1910" s="93">
        <f t="shared" si="367"/>
        <v>0</v>
      </c>
      <c r="AE1910" s="93">
        <f t="shared" si="368"/>
        <v>0</v>
      </c>
      <c r="AF1910" s="93">
        <f t="shared" si="369"/>
        <v>0</v>
      </c>
      <c r="AG1910" s="93">
        <f t="shared" si="370"/>
        <v>0</v>
      </c>
      <c r="AH1910" s="93">
        <f t="shared" si="371"/>
        <v>0</v>
      </c>
      <c r="AI1910" s="88" t="s">
        <v>55</v>
      </c>
      <c r="AJ1910" s="93">
        <f t="shared" si="372"/>
        <v>0</v>
      </c>
      <c r="AK1910" s="93">
        <f t="shared" si="373"/>
        <v>0</v>
      </c>
      <c r="AL1910" s="93">
        <f t="shared" si="374"/>
        <v>0</v>
      </c>
      <c r="AN1910" s="93">
        <v>21</v>
      </c>
      <c r="AO1910" s="93">
        <f>H1910*0.329042373</f>
        <v>0</v>
      </c>
      <c r="AP1910" s="93">
        <f>H1910*(1-0.329042373)</f>
        <v>0</v>
      </c>
      <c r="AQ1910" s="94" t="s">
        <v>148</v>
      </c>
      <c r="AV1910" s="93">
        <f t="shared" si="375"/>
        <v>0</v>
      </c>
      <c r="AW1910" s="93">
        <f t="shared" si="376"/>
        <v>0</v>
      </c>
      <c r="AX1910" s="93">
        <f t="shared" si="377"/>
        <v>0</v>
      </c>
      <c r="AY1910" s="94" t="s">
        <v>2510</v>
      </c>
      <c r="AZ1910" s="94" t="s">
        <v>2247</v>
      </c>
      <c r="BA1910" s="88" t="s">
        <v>67</v>
      </c>
      <c r="BC1910" s="93">
        <f t="shared" si="378"/>
        <v>0</v>
      </c>
      <c r="BD1910" s="93">
        <f t="shared" si="379"/>
        <v>0</v>
      </c>
      <c r="BE1910" s="93">
        <v>0</v>
      </c>
      <c r="BF1910" s="93">
        <f t="shared" si="380"/>
        <v>0</v>
      </c>
      <c r="BH1910" s="93">
        <f t="shared" si="381"/>
        <v>0</v>
      </c>
      <c r="BI1910" s="93">
        <f t="shared" si="382"/>
        <v>0</v>
      </c>
      <c r="BJ1910" s="93">
        <f t="shared" si="383"/>
        <v>0</v>
      </c>
      <c r="BK1910" s="93"/>
      <c r="BL1910" s="93">
        <v>767</v>
      </c>
      <c r="BW1910" s="93" t="str">
        <f t="shared" si="384"/>
        <v>21</v>
      </c>
      <c r="BX1910" s="2" t="s">
        <v>2555</v>
      </c>
    </row>
    <row r="1911" spans="1:76" s="81" customFormat="1" ht="25.5" x14ac:dyDescent="0.25">
      <c r="A1911" s="66" t="s">
        <v>2559</v>
      </c>
      <c r="B1911" s="72" t="s">
        <v>55</v>
      </c>
      <c r="C1911" s="72" t="s">
        <v>2557</v>
      </c>
      <c r="D1911" s="174" t="s">
        <v>2558</v>
      </c>
      <c r="E1911" s="174"/>
      <c r="F1911" s="72" t="s">
        <v>203</v>
      </c>
      <c r="G1911" s="90">
        <v>1</v>
      </c>
      <c r="H1911" s="91"/>
      <c r="I1911" s="92" t="s">
        <v>63</v>
      </c>
      <c r="J1911" s="90">
        <f t="shared" si="359"/>
        <v>0</v>
      </c>
      <c r="K1911" s="90">
        <f t="shared" si="360"/>
        <v>0</v>
      </c>
      <c r="L1911" s="90">
        <f t="shared" si="361"/>
        <v>0</v>
      </c>
      <c r="M1911" s="90">
        <f t="shared" si="362"/>
        <v>0</v>
      </c>
      <c r="N1911" s="90">
        <v>0</v>
      </c>
      <c r="O1911" s="90">
        <f t="shared" si="363"/>
        <v>0</v>
      </c>
      <c r="P1911" s="92" t="s">
        <v>578</v>
      </c>
      <c r="Z1911" s="93">
        <f t="shared" si="364"/>
        <v>0</v>
      </c>
      <c r="AB1911" s="93">
        <f t="shared" si="365"/>
        <v>0</v>
      </c>
      <c r="AC1911" s="93">
        <f t="shared" si="366"/>
        <v>0</v>
      </c>
      <c r="AD1911" s="93">
        <f t="shared" si="367"/>
        <v>0</v>
      </c>
      <c r="AE1911" s="93">
        <f t="shared" si="368"/>
        <v>0</v>
      </c>
      <c r="AF1911" s="93">
        <f t="shared" si="369"/>
        <v>0</v>
      </c>
      <c r="AG1911" s="93">
        <f t="shared" si="370"/>
        <v>0</v>
      </c>
      <c r="AH1911" s="93">
        <f t="shared" si="371"/>
        <v>0</v>
      </c>
      <c r="AI1911" s="88" t="s">
        <v>55</v>
      </c>
      <c r="AJ1911" s="93">
        <f t="shared" si="372"/>
        <v>0</v>
      </c>
      <c r="AK1911" s="93">
        <f t="shared" si="373"/>
        <v>0</v>
      </c>
      <c r="AL1911" s="93">
        <f t="shared" si="374"/>
        <v>0</v>
      </c>
      <c r="AN1911" s="93">
        <v>21</v>
      </c>
      <c r="AO1911" s="93">
        <f>H1911*0.329042427</f>
        <v>0</v>
      </c>
      <c r="AP1911" s="93">
        <f>H1911*(1-0.329042427)</f>
        <v>0</v>
      </c>
      <c r="AQ1911" s="94" t="s">
        <v>148</v>
      </c>
      <c r="AV1911" s="93">
        <f t="shared" si="375"/>
        <v>0</v>
      </c>
      <c r="AW1911" s="93">
        <f t="shared" si="376"/>
        <v>0</v>
      </c>
      <c r="AX1911" s="93">
        <f t="shared" si="377"/>
        <v>0</v>
      </c>
      <c r="AY1911" s="94" t="s">
        <v>2510</v>
      </c>
      <c r="AZ1911" s="94" t="s">
        <v>2247</v>
      </c>
      <c r="BA1911" s="88" t="s">
        <v>67</v>
      </c>
      <c r="BC1911" s="93">
        <f t="shared" si="378"/>
        <v>0</v>
      </c>
      <c r="BD1911" s="93">
        <f t="shared" si="379"/>
        <v>0</v>
      </c>
      <c r="BE1911" s="93">
        <v>0</v>
      </c>
      <c r="BF1911" s="93">
        <f t="shared" si="380"/>
        <v>0</v>
      </c>
      <c r="BH1911" s="93">
        <f t="shared" si="381"/>
        <v>0</v>
      </c>
      <c r="BI1911" s="93">
        <f t="shared" si="382"/>
        <v>0</v>
      </c>
      <c r="BJ1911" s="93">
        <f t="shared" si="383"/>
        <v>0</v>
      </c>
      <c r="BK1911" s="93"/>
      <c r="BL1911" s="93">
        <v>767</v>
      </c>
      <c r="BW1911" s="93" t="str">
        <f t="shared" si="384"/>
        <v>21</v>
      </c>
      <c r="BX1911" s="2" t="s">
        <v>2558</v>
      </c>
    </row>
    <row r="1912" spans="1:76" s="81" customFormat="1" ht="25.5" x14ac:dyDescent="0.25">
      <c r="A1912" s="66" t="s">
        <v>2562</v>
      </c>
      <c r="B1912" s="72" t="s">
        <v>55</v>
      </c>
      <c r="C1912" s="72" t="s">
        <v>2560</v>
      </c>
      <c r="D1912" s="174" t="s">
        <v>2561</v>
      </c>
      <c r="E1912" s="174"/>
      <c r="F1912" s="72" t="s">
        <v>203</v>
      </c>
      <c r="G1912" s="90">
        <v>1</v>
      </c>
      <c r="H1912" s="91"/>
      <c r="I1912" s="92" t="s">
        <v>63</v>
      </c>
      <c r="J1912" s="90">
        <f t="shared" si="359"/>
        <v>0</v>
      </c>
      <c r="K1912" s="90">
        <f t="shared" si="360"/>
        <v>0</v>
      </c>
      <c r="L1912" s="90">
        <f t="shared" si="361"/>
        <v>0</v>
      </c>
      <c r="M1912" s="90">
        <f t="shared" si="362"/>
        <v>0</v>
      </c>
      <c r="N1912" s="90">
        <v>0</v>
      </c>
      <c r="O1912" s="90">
        <f t="shared" si="363"/>
        <v>0</v>
      </c>
      <c r="P1912" s="92" t="s">
        <v>578</v>
      </c>
      <c r="Z1912" s="93">
        <f t="shared" si="364"/>
        <v>0</v>
      </c>
      <c r="AB1912" s="93">
        <f t="shared" si="365"/>
        <v>0</v>
      </c>
      <c r="AC1912" s="93">
        <f t="shared" si="366"/>
        <v>0</v>
      </c>
      <c r="AD1912" s="93">
        <f t="shared" si="367"/>
        <v>0</v>
      </c>
      <c r="AE1912" s="93">
        <f t="shared" si="368"/>
        <v>0</v>
      </c>
      <c r="AF1912" s="93">
        <f t="shared" si="369"/>
        <v>0</v>
      </c>
      <c r="AG1912" s="93">
        <f t="shared" si="370"/>
        <v>0</v>
      </c>
      <c r="AH1912" s="93">
        <f t="shared" si="371"/>
        <v>0</v>
      </c>
      <c r="AI1912" s="88" t="s">
        <v>55</v>
      </c>
      <c r="AJ1912" s="93">
        <f t="shared" si="372"/>
        <v>0</v>
      </c>
      <c r="AK1912" s="93">
        <f t="shared" si="373"/>
        <v>0</v>
      </c>
      <c r="AL1912" s="93">
        <f t="shared" si="374"/>
        <v>0</v>
      </c>
      <c r="AN1912" s="93">
        <v>21</v>
      </c>
      <c r="AO1912" s="93">
        <f>H1912*0.329042947</f>
        <v>0</v>
      </c>
      <c r="AP1912" s="93">
        <f>H1912*(1-0.329042947)</f>
        <v>0</v>
      </c>
      <c r="AQ1912" s="94" t="s">
        <v>148</v>
      </c>
      <c r="AV1912" s="93">
        <f t="shared" si="375"/>
        <v>0</v>
      </c>
      <c r="AW1912" s="93">
        <f t="shared" si="376"/>
        <v>0</v>
      </c>
      <c r="AX1912" s="93">
        <f t="shared" si="377"/>
        <v>0</v>
      </c>
      <c r="AY1912" s="94" t="s">
        <v>2510</v>
      </c>
      <c r="AZ1912" s="94" t="s">
        <v>2247</v>
      </c>
      <c r="BA1912" s="88" t="s">
        <v>67</v>
      </c>
      <c r="BC1912" s="93">
        <f t="shared" si="378"/>
        <v>0</v>
      </c>
      <c r="BD1912" s="93">
        <f t="shared" si="379"/>
        <v>0</v>
      </c>
      <c r="BE1912" s="93">
        <v>0</v>
      </c>
      <c r="BF1912" s="93">
        <f t="shared" si="380"/>
        <v>0</v>
      </c>
      <c r="BH1912" s="93">
        <f t="shared" si="381"/>
        <v>0</v>
      </c>
      <c r="BI1912" s="93">
        <f t="shared" si="382"/>
        <v>0</v>
      </c>
      <c r="BJ1912" s="93">
        <f t="shared" si="383"/>
        <v>0</v>
      </c>
      <c r="BK1912" s="93"/>
      <c r="BL1912" s="93">
        <v>767</v>
      </c>
      <c r="BW1912" s="93" t="str">
        <f t="shared" si="384"/>
        <v>21</v>
      </c>
      <c r="BX1912" s="2" t="s">
        <v>2561</v>
      </c>
    </row>
    <row r="1913" spans="1:76" s="81" customFormat="1" ht="25.5" x14ac:dyDescent="0.25">
      <c r="A1913" s="66" t="s">
        <v>2565</v>
      </c>
      <c r="B1913" s="72" t="s">
        <v>55</v>
      </c>
      <c r="C1913" s="72" t="s">
        <v>2563</v>
      </c>
      <c r="D1913" s="174" t="s">
        <v>2564</v>
      </c>
      <c r="E1913" s="174"/>
      <c r="F1913" s="72" t="s">
        <v>203</v>
      </c>
      <c r="G1913" s="90">
        <v>1</v>
      </c>
      <c r="H1913" s="91"/>
      <c r="I1913" s="92" t="s">
        <v>63</v>
      </c>
      <c r="J1913" s="90">
        <f t="shared" si="359"/>
        <v>0</v>
      </c>
      <c r="K1913" s="90">
        <f t="shared" si="360"/>
        <v>0</v>
      </c>
      <c r="L1913" s="90">
        <f t="shared" si="361"/>
        <v>0</v>
      </c>
      <c r="M1913" s="90">
        <f t="shared" si="362"/>
        <v>0</v>
      </c>
      <c r="N1913" s="90">
        <v>0</v>
      </c>
      <c r="O1913" s="90">
        <f t="shared" si="363"/>
        <v>0</v>
      </c>
      <c r="P1913" s="92" t="s">
        <v>578</v>
      </c>
      <c r="Z1913" s="93">
        <f t="shared" si="364"/>
        <v>0</v>
      </c>
      <c r="AB1913" s="93">
        <f t="shared" si="365"/>
        <v>0</v>
      </c>
      <c r="AC1913" s="93">
        <f t="shared" si="366"/>
        <v>0</v>
      </c>
      <c r="AD1913" s="93">
        <f t="shared" si="367"/>
        <v>0</v>
      </c>
      <c r="AE1913" s="93">
        <f t="shared" si="368"/>
        <v>0</v>
      </c>
      <c r="AF1913" s="93">
        <f t="shared" si="369"/>
        <v>0</v>
      </c>
      <c r="AG1913" s="93">
        <f t="shared" si="370"/>
        <v>0</v>
      </c>
      <c r="AH1913" s="93">
        <f t="shared" si="371"/>
        <v>0</v>
      </c>
      <c r="AI1913" s="88" t="s">
        <v>55</v>
      </c>
      <c r="AJ1913" s="93">
        <f t="shared" si="372"/>
        <v>0</v>
      </c>
      <c r="AK1913" s="93">
        <f t="shared" si="373"/>
        <v>0</v>
      </c>
      <c r="AL1913" s="93">
        <f t="shared" si="374"/>
        <v>0</v>
      </c>
      <c r="AN1913" s="93">
        <v>21</v>
      </c>
      <c r="AO1913" s="93">
        <f>H1913*0.329042791</f>
        <v>0</v>
      </c>
      <c r="AP1913" s="93">
        <f>H1913*(1-0.329042791)</f>
        <v>0</v>
      </c>
      <c r="AQ1913" s="94" t="s">
        <v>148</v>
      </c>
      <c r="AV1913" s="93">
        <f t="shared" si="375"/>
        <v>0</v>
      </c>
      <c r="AW1913" s="93">
        <f t="shared" si="376"/>
        <v>0</v>
      </c>
      <c r="AX1913" s="93">
        <f t="shared" si="377"/>
        <v>0</v>
      </c>
      <c r="AY1913" s="94" t="s">
        <v>2510</v>
      </c>
      <c r="AZ1913" s="94" t="s">
        <v>2247</v>
      </c>
      <c r="BA1913" s="88" t="s">
        <v>67</v>
      </c>
      <c r="BC1913" s="93">
        <f t="shared" si="378"/>
        <v>0</v>
      </c>
      <c r="BD1913" s="93">
        <f t="shared" si="379"/>
        <v>0</v>
      </c>
      <c r="BE1913" s="93">
        <v>0</v>
      </c>
      <c r="BF1913" s="93">
        <f t="shared" si="380"/>
        <v>0</v>
      </c>
      <c r="BH1913" s="93">
        <f t="shared" si="381"/>
        <v>0</v>
      </c>
      <c r="BI1913" s="93">
        <f t="shared" si="382"/>
        <v>0</v>
      </c>
      <c r="BJ1913" s="93">
        <f t="shared" si="383"/>
        <v>0</v>
      </c>
      <c r="BK1913" s="93"/>
      <c r="BL1913" s="93">
        <v>767</v>
      </c>
      <c r="BW1913" s="93" t="str">
        <f t="shared" si="384"/>
        <v>21</v>
      </c>
      <c r="BX1913" s="2" t="s">
        <v>2564</v>
      </c>
    </row>
    <row r="1914" spans="1:76" s="81" customFormat="1" ht="25.5" x14ac:dyDescent="0.25">
      <c r="A1914" s="66" t="s">
        <v>2568</v>
      </c>
      <c r="B1914" s="72" t="s">
        <v>55</v>
      </c>
      <c r="C1914" s="72" t="s">
        <v>2566</v>
      </c>
      <c r="D1914" s="174" t="s">
        <v>2567</v>
      </c>
      <c r="E1914" s="174"/>
      <c r="F1914" s="72" t="s">
        <v>203</v>
      </c>
      <c r="G1914" s="90">
        <v>6</v>
      </c>
      <c r="H1914" s="91"/>
      <c r="I1914" s="92" t="s">
        <v>63</v>
      </c>
      <c r="J1914" s="90">
        <f t="shared" si="359"/>
        <v>0</v>
      </c>
      <c r="K1914" s="90">
        <f t="shared" si="360"/>
        <v>0</v>
      </c>
      <c r="L1914" s="90">
        <f t="shared" si="361"/>
        <v>0</v>
      </c>
      <c r="M1914" s="90">
        <f t="shared" si="362"/>
        <v>0</v>
      </c>
      <c r="N1914" s="90">
        <v>0</v>
      </c>
      <c r="O1914" s="90">
        <f t="shared" si="363"/>
        <v>0</v>
      </c>
      <c r="P1914" s="92" t="s">
        <v>578</v>
      </c>
      <c r="Z1914" s="93">
        <f t="shared" si="364"/>
        <v>0</v>
      </c>
      <c r="AB1914" s="93">
        <f t="shared" si="365"/>
        <v>0</v>
      </c>
      <c r="AC1914" s="93">
        <f t="shared" si="366"/>
        <v>0</v>
      </c>
      <c r="AD1914" s="93">
        <f t="shared" si="367"/>
        <v>0</v>
      </c>
      <c r="AE1914" s="93">
        <f t="shared" si="368"/>
        <v>0</v>
      </c>
      <c r="AF1914" s="93">
        <f t="shared" si="369"/>
        <v>0</v>
      </c>
      <c r="AG1914" s="93">
        <f t="shared" si="370"/>
        <v>0</v>
      </c>
      <c r="AH1914" s="93">
        <f t="shared" si="371"/>
        <v>0</v>
      </c>
      <c r="AI1914" s="88" t="s">
        <v>55</v>
      </c>
      <c r="AJ1914" s="93">
        <f t="shared" si="372"/>
        <v>0</v>
      </c>
      <c r="AK1914" s="93">
        <f t="shared" si="373"/>
        <v>0</v>
      </c>
      <c r="AL1914" s="93">
        <f t="shared" si="374"/>
        <v>0</v>
      </c>
      <c r="AN1914" s="93">
        <v>21</v>
      </c>
      <c r="AO1914" s="93">
        <f>H1914*0.72</f>
        <v>0</v>
      </c>
      <c r="AP1914" s="93">
        <f>H1914*(1-0.72)</f>
        <v>0</v>
      </c>
      <c r="AQ1914" s="94" t="s">
        <v>148</v>
      </c>
      <c r="AV1914" s="93">
        <f t="shared" si="375"/>
        <v>0</v>
      </c>
      <c r="AW1914" s="93">
        <f t="shared" si="376"/>
        <v>0</v>
      </c>
      <c r="AX1914" s="93">
        <f t="shared" si="377"/>
        <v>0</v>
      </c>
      <c r="AY1914" s="94" t="s">
        <v>2510</v>
      </c>
      <c r="AZ1914" s="94" t="s">
        <v>2247</v>
      </c>
      <c r="BA1914" s="88" t="s">
        <v>67</v>
      </c>
      <c r="BC1914" s="93">
        <f t="shared" si="378"/>
        <v>0</v>
      </c>
      <c r="BD1914" s="93">
        <f t="shared" si="379"/>
        <v>0</v>
      </c>
      <c r="BE1914" s="93">
        <v>0</v>
      </c>
      <c r="BF1914" s="93">
        <f t="shared" si="380"/>
        <v>0</v>
      </c>
      <c r="BH1914" s="93">
        <f t="shared" si="381"/>
        <v>0</v>
      </c>
      <c r="BI1914" s="93">
        <f t="shared" si="382"/>
        <v>0</v>
      </c>
      <c r="BJ1914" s="93">
        <f t="shared" si="383"/>
        <v>0</v>
      </c>
      <c r="BK1914" s="93"/>
      <c r="BL1914" s="93">
        <v>767</v>
      </c>
      <c r="BW1914" s="93" t="str">
        <f t="shared" si="384"/>
        <v>21</v>
      </c>
      <c r="BX1914" s="2" t="s">
        <v>2567</v>
      </c>
    </row>
    <row r="1915" spans="1:76" s="81" customFormat="1" ht="25.5" x14ac:dyDescent="0.25">
      <c r="A1915" s="66" t="s">
        <v>2571</v>
      </c>
      <c r="B1915" s="72" t="s">
        <v>55</v>
      </c>
      <c r="C1915" s="72" t="s">
        <v>2569</v>
      </c>
      <c r="D1915" s="174" t="s">
        <v>2570</v>
      </c>
      <c r="E1915" s="174"/>
      <c r="F1915" s="72" t="s">
        <v>203</v>
      </c>
      <c r="G1915" s="90">
        <v>1</v>
      </c>
      <c r="H1915" s="91"/>
      <c r="I1915" s="92" t="s">
        <v>63</v>
      </c>
      <c r="J1915" s="90">
        <f t="shared" si="359"/>
        <v>0</v>
      </c>
      <c r="K1915" s="90">
        <f t="shared" si="360"/>
        <v>0</v>
      </c>
      <c r="L1915" s="90">
        <f t="shared" si="361"/>
        <v>0</v>
      </c>
      <c r="M1915" s="90">
        <f t="shared" si="362"/>
        <v>0</v>
      </c>
      <c r="N1915" s="90">
        <v>0</v>
      </c>
      <c r="O1915" s="90">
        <f t="shared" si="363"/>
        <v>0</v>
      </c>
      <c r="P1915" s="92" t="s">
        <v>578</v>
      </c>
      <c r="Z1915" s="93">
        <f t="shared" si="364"/>
        <v>0</v>
      </c>
      <c r="AB1915" s="93">
        <f t="shared" si="365"/>
        <v>0</v>
      </c>
      <c r="AC1915" s="93">
        <f t="shared" si="366"/>
        <v>0</v>
      </c>
      <c r="AD1915" s="93">
        <f t="shared" si="367"/>
        <v>0</v>
      </c>
      <c r="AE1915" s="93">
        <f t="shared" si="368"/>
        <v>0</v>
      </c>
      <c r="AF1915" s="93">
        <f t="shared" si="369"/>
        <v>0</v>
      </c>
      <c r="AG1915" s="93">
        <f t="shared" si="370"/>
        <v>0</v>
      </c>
      <c r="AH1915" s="93">
        <f t="shared" si="371"/>
        <v>0</v>
      </c>
      <c r="AI1915" s="88" t="s">
        <v>55</v>
      </c>
      <c r="AJ1915" s="93">
        <f t="shared" si="372"/>
        <v>0</v>
      </c>
      <c r="AK1915" s="93">
        <f t="shared" si="373"/>
        <v>0</v>
      </c>
      <c r="AL1915" s="93">
        <f t="shared" si="374"/>
        <v>0</v>
      </c>
      <c r="AN1915" s="93">
        <v>21</v>
      </c>
      <c r="AO1915" s="93">
        <f>H1915*0.75</f>
        <v>0</v>
      </c>
      <c r="AP1915" s="93">
        <f>H1915*(1-0.75)</f>
        <v>0</v>
      </c>
      <c r="AQ1915" s="94" t="s">
        <v>148</v>
      </c>
      <c r="AV1915" s="93">
        <f t="shared" si="375"/>
        <v>0</v>
      </c>
      <c r="AW1915" s="93">
        <f t="shared" si="376"/>
        <v>0</v>
      </c>
      <c r="AX1915" s="93">
        <f t="shared" si="377"/>
        <v>0</v>
      </c>
      <c r="AY1915" s="94" t="s">
        <v>2510</v>
      </c>
      <c r="AZ1915" s="94" t="s">
        <v>2247</v>
      </c>
      <c r="BA1915" s="88" t="s">
        <v>67</v>
      </c>
      <c r="BC1915" s="93">
        <f t="shared" si="378"/>
        <v>0</v>
      </c>
      <c r="BD1915" s="93">
        <f t="shared" si="379"/>
        <v>0</v>
      </c>
      <c r="BE1915" s="93">
        <v>0</v>
      </c>
      <c r="BF1915" s="93">
        <f t="shared" si="380"/>
        <v>0</v>
      </c>
      <c r="BH1915" s="93">
        <f t="shared" si="381"/>
        <v>0</v>
      </c>
      <c r="BI1915" s="93">
        <f t="shared" si="382"/>
        <v>0</v>
      </c>
      <c r="BJ1915" s="93">
        <f t="shared" si="383"/>
        <v>0</v>
      </c>
      <c r="BK1915" s="93"/>
      <c r="BL1915" s="93">
        <v>767</v>
      </c>
      <c r="BW1915" s="93" t="str">
        <f t="shared" si="384"/>
        <v>21</v>
      </c>
      <c r="BX1915" s="2" t="s">
        <v>2570</v>
      </c>
    </row>
    <row r="1916" spans="1:76" s="81" customFormat="1" ht="25.5" x14ac:dyDescent="0.25">
      <c r="A1916" s="66" t="s">
        <v>2575</v>
      </c>
      <c r="B1916" s="72" t="s">
        <v>55</v>
      </c>
      <c r="C1916" s="72" t="s">
        <v>2572</v>
      </c>
      <c r="D1916" s="174" t="s">
        <v>2573</v>
      </c>
      <c r="E1916" s="174"/>
      <c r="F1916" s="72" t="s">
        <v>203</v>
      </c>
      <c r="G1916" s="90">
        <v>1</v>
      </c>
      <c r="H1916" s="91"/>
      <c r="I1916" s="92" t="s">
        <v>63</v>
      </c>
      <c r="J1916" s="90">
        <f t="shared" si="359"/>
        <v>0</v>
      </c>
      <c r="K1916" s="90">
        <f t="shared" si="360"/>
        <v>0</v>
      </c>
      <c r="L1916" s="90">
        <f t="shared" si="361"/>
        <v>0</v>
      </c>
      <c r="M1916" s="90">
        <f t="shared" si="362"/>
        <v>0</v>
      </c>
      <c r="N1916" s="90">
        <v>0</v>
      </c>
      <c r="O1916" s="90">
        <f t="shared" si="363"/>
        <v>0</v>
      </c>
      <c r="P1916" s="92" t="s">
        <v>578</v>
      </c>
      <c r="Z1916" s="93">
        <f t="shared" si="364"/>
        <v>0</v>
      </c>
      <c r="AB1916" s="93">
        <f t="shared" si="365"/>
        <v>0</v>
      </c>
      <c r="AC1916" s="93">
        <f t="shared" si="366"/>
        <v>0</v>
      </c>
      <c r="AD1916" s="93">
        <f t="shared" si="367"/>
        <v>0</v>
      </c>
      <c r="AE1916" s="93">
        <f t="shared" si="368"/>
        <v>0</v>
      </c>
      <c r="AF1916" s="93">
        <f t="shared" si="369"/>
        <v>0</v>
      </c>
      <c r="AG1916" s="93">
        <f t="shared" si="370"/>
        <v>0</v>
      </c>
      <c r="AH1916" s="93">
        <f t="shared" si="371"/>
        <v>0</v>
      </c>
      <c r="AI1916" s="88" t="s">
        <v>55</v>
      </c>
      <c r="AJ1916" s="93">
        <f t="shared" si="372"/>
        <v>0</v>
      </c>
      <c r="AK1916" s="93">
        <f t="shared" si="373"/>
        <v>0</v>
      </c>
      <c r="AL1916" s="93">
        <f t="shared" si="374"/>
        <v>0</v>
      </c>
      <c r="AN1916" s="93">
        <v>21</v>
      </c>
      <c r="AO1916" s="93">
        <f>H1916*0.92</f>
        <v>0</v>
      </c>
      <c r="AP1916" s="93">
        <f>H1916*(1-0.92)</f>
        <v>0</v>
      </c>
      <c r="AQ1916" s="94" t="s">
        <v>148</v>
      </c>
      <c r="AV1916" s="93">
        <f t="shared" si="375"/>
        <v>0</v>
      </c>
      <c r="AW1916" s="93">
        <f t="shared" si="376"/>
        <v>0</v>
      </c>
      <c r="AX1916" s="93">
        <f t="shared" si="377"/>
        <v>0</v>
      </c>
      <c r="AY1916" s="94" t="s">
        <v>2510</v>
      </c>
      <c r="AZ1916" s="94" t="s">
        <v>2247</v>
      </c>
      <c r="BA1916" s="88" t="s">
        <v>67</v>
      </c>
      <c r="BC1916" s="93">
        <f t="shared" si="378"/>
        <v>0</v>
      </c>
      <c r="BD1916" s="93">
        <f t="shared" si="379"/>
        <v>0</v>
      </c>
      <c r="BE1916" s="93">
        <v>0</v>
      </c>
      <c r="BF1916" s="93">
        <f t="shared" si="380"/>
        <v>0</v>
      </c>
      <c r="BH1916" s="93">
        <f t="shared" si="381"/>
        <v>0</v>
      </c>
      <c r="BI1916" s="93">
        <f t="shared" si="382"/>
        <v>0</v>
      </c>
      <c r="BJ1916" s="93">
        <f t="shared" si="383"/>
        <v>0</v>
      </c>
      <c r="BK1916" s="93"/>
      <c r="BL1916" s="93">
        <v>767</v>
      </c>
      <c r="BW1916" s="93" t="str">
        <f t="shared" si="384"/>
        <v>21</v>
      </c>
      <c r="BX1916" s="2" t="s">
        <v>2573</v>
      </c>
    </row>
    <row r="1917" spans="1:76" s="81" customFormat="1" ht="13.5" customHeight="1" x14ac:dyDescent="0.25">
      <c r="A1917" s="110"/>
      <c r="B1917" s="95"/>
      <c r="C1917" s="95"/>
      <c r="D1917" s="179" t="s">
        <v>2574</v>
      </c>
      <c r="E1917" s="179"/>
      <c r="F1917" s="179"/>
      <c r="G1917" s="179"/>
      <c r="H1917" s="179"/>
      <c r="I1917" s="179"/>
      <c r="J1917" s="179"/>
      <c r="K1917" s="179"/>
      <c r="L1917" s="179"/>
      <c r="M1917" s="179"/>
      <c r="N1917" s="179"/>
      <c r="O1917" s="179"/>
      <c r="P1917" s="179"/>
    </row>
    <row r="1918" spans="1:76" s="81" customFormat="1" ht="25.5" x14ac:dyDescent="0.25">
      <c r="A1918" s="66" t="s">
        <v>2579</v>
      </c>
      <c r="B1918" s="72" t="s">
        <v>55</v>
      </c>
      <c r="C1918" s="72" t="s">
        <v>2576</v>
      </c>
      <c r="D1918" s="174" t="s">
        <v>2577</v>
      </c>
      <c r="E1918" s="174"/>
      <c r="F1918" s="72" t="s">
        <v>203</v>
      </c>
      <c r="G1918" s="90">
        <v>1</v>
      </c>
      <c r="H1918" s="91"/>
      <c r="I1918" s="92" t="s">
        <v>63</v>
      </c>
      <c r="J1918" s="90">
        <f>G1918*AO1918</f>
        <v>0</v>
      </c>
      <c r="K1918" s="90">
        <f>G1918*AP1918</f>
        <v>0</v>
      </c>
      <c r="L1918" s="90">
        <f>G1918*H1918</f>
        <v>0</v>
      </c>
      <c r="M1918" s="90">
        <f>L1918*(1+BW1918/100)</f>
        <v>0</v>
      </c>
      <c r="N1918" s="90">
        <v>0</v>
      </c>
      <c r="O1918" s="90">
        <f>G1918*N1918</f>
        <v>0</v>
      </c>
      <c r="P1918" s="92" t="s">
        <v>578</v>
      </c>
      <c r="Z1918" s="93">
        <f>IF(AQ1918="5",BJ1918,0)</f>
        <v>0</v>
      </c>
      <c r="AB1918" s="93">
        <f>IF(AQ1918="1",BH1918,0)</f>
        <v>0</v>
      </c>
      <c r="AC1918" s="93">
        <f>IF(AQ1918="1",BI1918,0)</f>
        <v>0</v>
      </c>
      <c r="AD1918" s="93">
        <f>IF(AQ1918="7",BH1918,0)</f>
        <v>0</v>
      </c>
      <c r="AE1918" s="93">
        <f>IF(AQ1918="7",BI1918,0)</f>
        <v>0</v>
      </c>
      <c r="AF1918" s="93">
        <f>IF(AQ1918="2",BH1918,0)</f>
        <v>0</v>
      </c>
      <c r="AG1918" s="93">
        <f>IF(AQ1918="2",BI1918,0)</f>
        <v>0</v>
      </c>
      <c r="AH1918" s="93">
        <f>IF(AQ1918="0",BJ1918,0)</f>
        <v>0</v>
      </c>
      <c r="AI1918" s="88" t="s">
        <v>55</v>
      </c>
      <c r="AJ1918" s="93">
        <f>IF(AN1918=0,L1918,0)</f>
        <v>0</v>
      </c>
      <c r="AK1918" s="93">
        <f>IF(AN1918=12,L1918,0)</f>
        <v>0</v>
      </c>
      <c r="AL1918" s="93">
        <f>IF(AN1918=21,L1918,0)</f>
        <v>0</v>
      </c>
      <c r="AN1918" s="93">
        <v>21</v>
      </c>
      <c r="AO1918" s="93">
        <f>H1918*0.92</f>
        <v>0</v>
      </c>
      <c r="AP1918" s="93">
        <f>H1918*(1-0.92)</f>
        <v>0</v>
      </c>
      <c r="AQ1918" s="94" t="s">
        <v>148</v>
      </c>
      <c r="AV1918" s="93">
        <f>AW1918+AX1918</f>
        <v>0</v>
      </c>
      <c r="AW1918" s="93">
        <f>G1918*AO1918</f>
        <v>0</v>
      </c>
      <c r="AX1918" s="93">
        <f>G1918*AP1918</f>
        <v>0</v>
      </c>
      <c r="AY1918" s="94" t="s">
        <v>2510</v>
      </c>
      <c r="AZ1918" s="94" t="s">
        <v>2247</v>
      </c>
      <c r="BA1918" s="88" t="s">
        <v>67</v>
      </c>
      <c r="BC1918" s="93">
        <f>AW1918+AX1918</f>
        <v>0</v>
      </c>
      <c r="BD1918" s="93">
        <f>H1918/(100-BE1918)*100</f>
        <v>0</v>
      </c>
      <c r="BE1918" s="93">
        <v>0</v>
      </c>
      <c r="BF1918" s="93">
        <f>O1918</f>
        <v>0</v>
      </c>
      <c r="BH1918" s="93">
        <f>G1918*AO1918</f>
        <v>0</v>
      </c>
      <c r="BI1918" s="93">
        <f>G1918*AP1918</f>
        <v>0</v>
      </c>
      <c r="BJ1918" s="93">
        <f>G1918*H1918</f>
        <v>0</v>
      </c>
      <c r="BK1918" s="93"/>
      <c r="BL1918" s="93">
        <v>767</v>
      </c>
      <c r="BW1918" s="93" t="str">
        <f>I1918</f>
        <v>21</v>
      </c>
      <c r="BX1918" s="2" t="s">
        <v>2577</v>
      </c>
    </row>
    <row r="1919" spans="1:76" s="81" customFormat="1" ht="13.5" customHeight="1" x14ac:dyDescent="0.25">
      <c r="A1919" s="110"/>
      <c r="B1919" s="95"/>
      <c r="C1919" s="95"/>
      <c r="D1919" s="179" t="s">
        <v>2578</v>
      </c>
      <c r="E1919" s="179"/>
      <c r="F1919" s="179"/>
      <c r="G1919" s="179"/>
      <c r="H1919" s="179"/>
      <c r="I1919" s="179"/>
      <c r="J1919" s="179"/>
      <c r="K1919" s="179"/>
      <c r="L1919" s="179"/>
      <c r="M1919" s="179"/>
      <c r="N1919" s="179"/>
      <c r="O1919" s="179"/>
      <c r="P1919" s="179"/>
    </row>
    <row r="1920" spans="1:76" s="81" customFormat="1" ht="25.5" x14ac:dyDescent="0.25">
      <c r="A1920" s="66" t="s">
        <v>2583</v>
      </c>
      <c r="B1920" s="72" t="s">
        <v>55</v>
      </c>
      <c r="C1920" s="72" t="s">
        <v>4349</v>
      </c>
      <c r="D1920" s="174" t="s">
        <v>4350</v>
      </c>
      <c r="E1920" s="174"/>
      <c r="F1920" s="72" t="s">
        <v>203</v>
      </c>
      <c r="G1920" s="90">
        <v>1</v>
      </c>
      <c r="H1920" s="91"/>
      <c r="I1920" s="92" t="s">
        <v>63</v>
      </c>
      <c r="J1920" s="90">
        <f t="shared" ref="J1920" si="385">G1920*AO1920</f>
        <v>0</v>
      </c>
      <c r="K1920" s="90">
        <f t="shared" ref="K1920" si="386">G1920*AP1920</f>
        <v>0</v>
      </c>
      <c r="L1920" s="90">
        <f t="shared" ref="L1920" si="387">G1920*H1920</f>
        <v>0</v>
      </c>
      <c r="M1920" s="90">
        <f t="shared" ref="M1920" si="388">L1920*(1+BW1920/100)</f>
        <v>0</v>
      </c>
      <c r="N1920" s="90">
        <v>0</v>
      </c>
      <c r="O1920" s="90">
        <f t="shared" ref="O1920" si="389">G1920*N1920</f>
        <v>0</v>
      </c>
      <c r="P1920" s="92" t="s">
        <v>578</v>
      </c>
      <c r="Z1920" s="93">
        <f t="shared" ref="Z1920" si="390">IF(AQ1920="5",BJ1920,0)</f>
        <v>0</v>
      </c>
      <c r="AB1920" s="93">
        <f t="shared" ref="AB1920" si="391">IF(AQ1920="1",BH1920,0)</f>
        <v>0</v>
      </c>
      <c r="AC1920" s="93">
        <f t="shared" ref="AC1920" si="392">IF(AQ1920="1",BI1920,0)</f>
        <v>0</v>
      </c>
      <c r="AD1920" s="93">
        <f t="shared" ref="AD1920" si="393">IF(AQ1920="7",BH1920,0)</f>
        <v>0</v>
      </c>
      <c r="AE1920" s="93">
        <f t="shared" ref="AE1920" si="394">IF(AQ1920="7",BI1920,0)</f>
        <v>0</v>
      </c>
      <c r="AF1920" s="93">
        <f t="shared" ref="AF1920" si="395">IF(AQ1920="2",BH1920,0)</f>
        <v>0</v>
      </c>
      <c r="AG1920" s="93">
        <f t="shared" ref="AG1920" si="396">IF(AQ1920="2",BI1920,0)</f>
        <v>0</v>
      </c>
      <c r="AH1920" s="93">
        <f t="shared" ref="AH1920" si="397">IF(AQ1920="0",BJ1920,0)</f>
        <v>0</v>
      </c>
      <c r="AI1920" s="88" t="s">
        <v>55</v>
      </c>
      <c r="AJ1920" s="93">
        <f t="shared" ref="AJ1920" si="398">IF(AN1920=0,L1920,0)</f>
        <v>0</v>
      </c>
      <c r="AK1920" s="93">
        <f t="shared" ref="AK1920" si="399">IF(AN1920=12,L1920,0)</f>
        <v>0</v>
      </c>
      <c r="AL1920" s="93">
        <f t="shared" ref="AL1920" si="400">IF(AN1920=21,L1920,0)</f>
        <v>0</v>
      </c>
      <c r="AN1920" s="93">
        <v>21</v>
      </c>
      <c r="AO1920" s="93">
        <f>H1920*0.78</f>
        <v>0</v>
      </c>
      <c r="AP1920" s="93">
        <f>H1920*(1-0.78)</f>
        <v>0</v>
      </c>
      <c r="AQ1920" s="94" t="s">
        <v>148</v>
      </c>
      <c r="AV1920" s="93">
        <f t="shared" ref="AV1920" si="401">AW1920+AX1920</f>
        <v>0</v>
      </c>
      <c r="AW1920" s="93">
        <f t="shared" ref="AW1920" si="402">G1920*AO1920</f>
        <v>0</v>
      </c>
      <c r="AX1920" s="93">
        <f t="shared" ref="AX1920" si="403">G1920*AP1920</f>
        <v>0</v>
      </c>
      <c r="AY1920" s="94" t="s">
        <v>2510</v>
      </c>
      <c r="AZ1920" s="94" t="s">
        <v>2247</v>
      </c>
      <c r="BA1920" s="88" t="s">
        <v>67</v>
      </c>
      <c r="BC1920" s="93">
        <f t="shared" ref="BC1920" si="404">AW1920+AX1920</f>
        <v>0</v>
      </c>
      <c r="BD1920" s="93">
        <f t="shared" ref="BD1920" si="405">H1920/(100-BE1920)*100</f>
        <v>0</v>
      </c>
      <c r="BE1920" s="93">
        <v>0</v>
      </c>
      <c r="BF1920" s="93">
        <f t="shared" ref="BF1920" si="406">O1920</f>
        <v>0</v>
      </c>
      <c r="BH1920" s="93">
        <f t="shared" ref="BH1920" si="407">G1920*AO1920</f>
        <v>0</v>
      </c>
      <c r="BI1920" s="93">
        <f t="shared" ref="BI1920" si="408">G1920*AP1920</f>
        <v>0</v>
      </c>
      <c r="BJ1920" s="93">
        <f t="shared" ref="BJ1920" si="409">G1920*H1920</f>
        <v>0</v>
      </c>
      <c r="BK1920" s="93"/>
      <c r="BL1920" s="93">
        <v>767</v>
      </c>
      <c r="BW1920" s="93" t="str">
        <f t="shared" ref="BW1920" si="410">I1920</f>
        <v>21</v>
      </c>
      <c r="BX1920" s="2" t="s">
        <v>2552</v>
      </c>
    </row>
    <row r="1921" spans="1:76" s="81" customFormat="1" ht="25.5" x14ac:dyDescent="0.25">
      <c r="A1921" s="66" t="s">
        <v>2586</v>
      </c>
      <c r="B1921" s="72" t="s">
        <v>55</v>
      </c>
      <c r="C1921" s="72" t="s">
        <v>2580</v>
      </c>
      <c r="D1921" s="174" t="s">
        <v>2581</v>
      </c>
      <c r="E1921" s="174"/>
      <c r="F1921" s="72" t="s">
        <v>203</v>
      </c>
      <c r="G1921" s="90">
        <v>1</v>
      </c>
      <c r="H1921" s="91"/>
      <c r="I1921" s="92" t="s">
        <v>63</v>
      </c>
      <c r="J1921" s="90">
        <f>G1921*AO1921</f>
        <v>0</v>
      </c>
      <c r="K1921" s="90">
        <f>G1921*AP1921</f>
        <v>0</v>
      </c>
      <c r="L1921" s="90">
        <f>G1921*H1921</f>
        <v>0</v>
      </c>
      <c r="M1921" s="90">
        <f>L1921*(1+BW1921/100)</f>
        <v>0</v>
      </c>
      <c r="N1921" s="90">
        <v>0</v>
      </c>
      <c r="O1921" s="90">
        <f>G1921*N1921</f>
        <v>0</v>
      </c>
      <c r="P1921" s="92" t="s">
        <v>578</v>
      </c>
      <c r="Z1921" s="93">
        <f>IF(AQ1921="5",BJ1921,0)</f>
        <v>0</v>
      </c>
      <c r="AB1921" s="93">
        <f>IF(AQ1921="1",BH1921,0)</f>
        <v>0</v>
      </c>
      <c r="AC1921" s="93">
        <f>IF(AQ1921="1",BI1921,0)</f>
        <v>0</v>
      </c>
      <c r="AD1921" s="93">
        <f>IF(AQ1921="7",BH1921,0)</f>
        <v>0</v>
      </c>
      <c r="AE1921" s="93">
        <f>IF(AQ1921="7",BI1921,0)</f>
        <v>0</v>
      </c>
      <c r="AF1921" s="93">
        <f>IF(AQ1921="2",BH1921,0)</f>
        <v>0</v>
      </c>
      <c r="AG1921" s="93">
        <f>IF(AQ1921="2",BI1921,0)</f>
        <v>0</v>
      </c>
      <c r="AH1921" s="93">
        <f>IF(AQ1921="0",BJ1921,0)</f>
        <v>0</v>
      </c>
      <c r="AI1921" s="88" t="s">
        <v>55</v>
      </c>
      <c r="AJ1921" s="93">
        <f>IF(AN1921=0,L1921,0)</f>
        <v>0</v>
      </c>
      <c r="AK1921" s="93">
        <f>IF(AN1921=12,L1921,0)</f>
        <v>0</v>
      </c>
      <c r="AL1921" s="93">
        <f>IF(AN1921=21,L1921,0)</f>
        <v>0</v>
      </c>
      <c r="AN1921" s="93">
        <v>21</v>
      </c>
      <c r="AO1921" s="93">
        <f>H1921*0.8</f>
        <v>0</v>
      </c>
      <c r="AP1921" s="93">
        <f>H1921*(1-0.8)</f>
        <v>0</v>
      </c>
      <c r="AQ1921" s="94" t="s">
        <v>148</v>
      </c>
      <c r="AV1921" s="93">
        <f>AW1921+AX1921</f>
        <v>0</v>
      </c>
      <c r="AW1921" s="93">
        <f>G1921*AO1921</f>
        <v>0</v>
      </c>
      <c r="AX1921" s="93">
        <f>G1921*AP1921</f>
        <v>0</v>
      </c>
      <c r="AY1921" s="94" t="s">
        <v>2510</v>
      </c>
      <c r="AZ1921" s="94" t="s">
        <v>2247</v>
      </c>
      <c r="BA1921" s="88" t="s">
        <v>67</v>
      </c>
      <c r="BC1921" s="93">
        <f>AW1921+AX1921</f>
        <v>0</v>
      </c>
      <c r="BD1921" s="93">
        <f>H1921/(100-BE1921)*100</f>
        <v>0</v>
      </c>
      <c r="BE1921" s="93">
        <v>0</v>
      </c>
      <c r="BF1921" s="93">
        <f>O1921</f>
        <v>0</v>
      </c>
      <c r="BH1921" s="93">
        <f>G1921*AO1921</f>
        <v>0</v>
      </c>
      <c r="BI1921" s="93">
        <f>G1921*AP1921</f>
        <v>0</v>
      </c>
      <c r="BJ1921" s="93">
        <f>G1921*H1921</f>
        <v>0</v>
      </c>
      <c r="BK1921" s="93"/>
      <c r="BL1921" s="93">
        <v>767</v>
      </c>
      <c r="BW1921" s="93" t="str">
        <f>I1921</f>
        <v>21</v>
      </c>
      <c r="BX1921" s="2" t="s">
        <v>2581</v>
      </c>
    </row>
    <row r="1922" spans="1:76" s="81" customFormat="1" ht="13.5" customHeight="1" x14ac:dyDescent="0.25">
      <c r="A1922" s="110"/>
      <c r="B1922" s="95"/>
      <c r="C1922" s="95"/>
      <c r="D1922" s="179" t="s">
        <v>2582</v>
      </c>
      <c r="E1922" s="179"/>
      <c r="F1922" s="179"/>
      <c r="G1922" s="179"/>
      <c r="H1922" s="179"/>
      <c r="I1922" s="179"/>
      <c r="J1922" s="179"/>
      <c r="K1922" s="179"/>
      <c r="L1922" s="179"/>
      <c r="M1922" s="179"/>
      <c r="N1922" s="179"/>
      <c r="O1922" s="179"/>
      <c r="P1922" s="179"/>
    </row>
    <row r="1923" spans="1:76" s="81" customFormat="1" ht="25.5" x14ac:dyDescent="0.25">
      <c r="A1923" s="66" t="s">
        <v>2591</v>
      </c>
      <c r="B1923" s="72" t="s">
        <v>55</v>
      </c>
      <c r="C1923" s="72" t="s">
        <v>2584</v>
      </c>
      <c r="D1923" s="174" t="s">
        <v>2585</v>
      </c>
      <c r="E1923" s="174"/>
      <c r="F1923" s="72" t="s">
        <v>203</v>
      </c>
      <c r="G1923" s="90">
        <v>1</v>
      </c>
      <c r="H1923" s="91"/>
      <c r="I1923" s="92" t="s">
        <v>63</v>
      </c>
      <c r="J1923" s="90">
        <f>G1923*AO1923</f>
        <v>0</v>
      </c>
      <c r="K1923" s="90">
        <f>G1923*AP1923</f>
        <v>0</v>
      </c>
      <c r="L1923" s="90">
        <f>G1923*H1923</f>
        <v>0</v>
      </c>
      <c r="M1923" s="90">
        <f>L1923*(1+BW1923/100)</f>
        <v>0</v>
      </c>
      <c r="N1923" s="90">
        <v>0</v>
      </c>
      <c r="O1923" s="90">
        <f>G1923*N1923</f>
        <v>0</v>
      </c>
      <c r="P1923" s="92" t="s">
        <v>578</v>
      </c>
      <c r="Z1923" s="93">
        <f>IF(AQ1923="5",BJ1923,0)</f>
        <v>0</v>
      </c>
      <c r="AB1923" s="93">
        <f>IF(AQ1923="1",BH1923,0)</f>
        <v>0</v>
      </c>
      <c r="AC1923" s="93">
        <f>IF(AQ1923="1",BI1923,0)</f>
        <v>0</v>
      </c>
      <c r="AD1923" s="93">
        <f>IF(AQ1923="7",BH1923,0)</f>
        <v>0</v>
      </c>
      <c r="AE1923" s="93">
        <f>IF(AQ1923="7",BI1923,0)</f>
        <v>0</v>
      </c>
      <c r="AF1923" s="93">
        <f>IF(AQ1923="2",BH1923,0)</f>
        <v>0</v>
      </c>
      <c r="AG1923" s="93">
        <f>IF(AQ1923="2",BI1923,0)</f>
        <v>0</v>
      </c>
      <c r="AH1923" s="93">
        <f>IF(AQ1923="0",BJ1923,0)</f>
        <v>0</v>
      </c>
      <c r="AI1923" s="88" t="s">
        <v>55</v>
      </c>
      <c r="AJ1923" s="93">
        <f>IF(AN1923=0,L1923,0)</f>
        <v>0</v>
      </c>
      <c r="AK1923" s="93">
        <f>IF(AN1923=12,L1923,0)</f>
        <v>0</v>
      </c>
      <c r="AL1923" s="93">
        <f>IF(AN1923=21,L1923,0)</f>
        <v>0</v>
      </c>
      <c r="AN1923" s="93">
        <v>21</v>
      </c>
      <c r="AO1923" s="93">
        <f>H1923*0.81</f>
        <v>0</v>
      </c>
      <c r="AP1923" s="93">
        <f>H1923*(1-0.81)</f>
        <v>0</v>
      </c>
      <c r="AQ1923" s="94" t="s">
        <v>148</v>
      </c>
      <c r="AV1923" s="93">
        <f>AW1923+AX1923</f>
        <v>0</v>
      </c>
      <c r="AW1923" s="93">
        <f>G1923*AO1923</f>
        <v>0</v>
      </c>
      <c r="AX1923" s="93">
        <f>G1923*AP1923</f>
        <v>0</v>
      </c>
      <c r="AY1923" s="94" t="s">
        <v>2510</v>
      </c>
      <c r="AZ1923" s="94" t="s">
        <v>2247</v>
      </c>
      <c r="BA1923" s="88" t="s">
        <v>67</v>
      </c>
      <c r="BC1923" s="93">
        <f>AW1923+AX1923</f>
        <v>0</v>
      </c>
      <c r="BD1923" s="93">
        <f>H1923/(100-BE1923)*100</f>
        <v>0</v>
      </c>
      <c r="BE1923" s="93">
        <v>0</v>
      </c>
      <c r="BF1923" s="93">
        <f>O1923</f>
        <v>0</v>
      </c>
      <c r="BH1923" s="93">
        <f>G1923*AO1923</f>
        <v>0</v>
      </c>
      <c r="BI1923" s="93">
        <f>G1923*AP1923</f>
        <v>0</v>
      </c>
      <c r="BJ1923" s="93">
        <f>G1923*H1923</f>
        <v>0</v>
      </c>
      <c r="BK1923" s="93"/>
      <c r="BL1923" s="93">
        <v>767</v>
      </c>
      <c r="BW1923" s="93" t="str">
        <f>I1923</f>
        <v>21</v>
      </c>
      <c r="BX1923" s="2" t="s">
        <v>2585</v>
      </c>
    </row>
    <row r="1924" spans="1:76" s="81" customFormat="1" ht="25.5" x14ac:dyDescent="0.25">
      <c r="A1924" s="66" t="s">
        <v>2595</v>
      </c>
      <c r="B1924" s="72" t="s">
        <v>55</v>
      </c>
      <c r="C1924" s="72" t="s">
        <v>2587</v>
      </c>
      <c r="D1924" s="174" t="s">
        <v>2588</v>
      </c>
      <c r="E1924" s="174"/>
      <c r="F1924" s="72" t="s">
        <v>2589</v>
      </c>
      <c r="G1924" s="90">
        <v>12690.3</v>
      </c>
      <c r="H1924" s="91"/>
      <c r="I1924" s="92" t="s">
        <v>63</v>
      </c>
      <c r="J1924" s="90">
        <f>G1924*AO1924</f>
        <v>0</v>
      </c>
      <c r="K1924" s="90">
        <f>G1924*AP1924</f>
        <v>0</v>
      </c>
      <c r="L1924" s="90">
        <f>G1924*H1924</f>
        <v>0</v>
      </c>
      <c r="M1924" s="90">
        <f>L1924*(1+BW1924/100)</f>
        <v>0</v>
      </c>
      <c r="N1924" s="90">
        <v>1.0499999999999999E-3</v>
      </c>
      <c r="O1924" s="90">
        <f>G1924*N1924</f>
        <v>13.324814999999999</v>
      </c>
      <c r="P1924" s="92" t="s">
        <v>371</v>
      </c>
      <c r="Z1924" s="93">
        <f>IF(AQ1924="5",BJ1924,0)</f>
        <v>0</v>
      </c>
      <c r="AB1924" s="93">
        <f>IF(AQ1924="1",BH1924,0)</f>
        <v>0</v>
      </c>
      <c r="AC1924" s="93">
        <f>IF(AQ1924="1",BI1924,0)</f>
        <v>0</v>
      </c>
      <c r="AD1924" s="93">
        <f>IF(AQ1924="7",BH1924,0)</f>
        <v>0</v>
      </c>
      <c r="AE1924" s="93">
        <f>IF(AQ1924="7",BI1924,0)</f>
        <v>0</v>
      </c>
      <c r="AF1924" s="93">
        <f>IF(AQ1924="2",BH1924,0)</f>
        <v>0</v>
      </c>
      <c r="AG1924" s="93">
        <f>IF(AQ1924="2",BI1924,0)</f>
        <v>0</v>
      </c>
      <c r="AH1924" s="93">
        <f>IF(AQ1924="0",BJ1924,0)</f>
        <v>0</v>
      </c>
      <c r="AI1924" s="88" t="s">
        <v>55</v>
      </c>
      <c r="AJ1924" s="93">
        <f>IF(AN1924=0,L1924,0)</f>
        <v>0</v>
      </c>
      <c r="AK1924" s="93">
        <f>IF(AN1924=12,L1924,0)</f>
        <v>0</v>
      </c>
      <c r="AL1924" s="93">
        <f>IF(AN1924=21,L1924,0)</f>
        <v>0</v>
      </c>
      <c r="AN1924" s="93">
        <v>21</v>
      </c>
      <c r="AO1924" s="93">
        <f>H1924*0.643625695</f>
        <v>0</v>
      </c>
      <c r="AP1924" s="93">
        <f>H1924*(1-0.643625695)</f>
        <v>0</v>
      </c>
      <c r="AQ1924" s="94" t="s">
        <v>148</v>
      </c>
      <c r="AV1924" s="93">
        <f>AW1924+AX1924</f>
        <v>0</v>
      </c>
      <c r="AW1924" s="93">
        <f>G1924*AO1924</f>
        <v>0</v>
      </c>
      <c r="AX1924" s="93">
        <f>G1924*AP1924</f>
        <v>0</v>
      </c>
      <c r="AY1924" s="94" t="s">
        <v>2510</v>
      </c>
      <c r="AZ1924" s="94" t="s">
        <v>2247</v>
      </c>
      <c r="BA1924" s="88" t="s">
        <v>67</v>
      </c>
      <c r="BC1924" s="93">
        <f>AW1924+AX1924</f>
        <v>0</v>
      </c>
      <c r="BD1924" s="93">
        <f>H1924/(100-BE1924)*100</f>
        <v>0</v>
      </c>
      <c r="BE1924" s="93">
        <v>0</v>
      </c>
      <c r="BF1924" s="93">
        <f>O1924</f>
        <v>13.324814999999999</v>
      </c>
      <c r="BH1924" s="93">
        <f>G1924*AO1924</f>
        <v>0</v>
      </c>
      <c r="BI1924" s="93">
        <f>G1924*AP1924</f>
        <v>0</v>
      </c>
      <c r="BJ1924" s="93">
        <f>G1924*H1924</f>
        <v>0</v>
      </c>
      <c r="BK1924" s="93"/>
      <c r="BL1924" s="93">
        <v>767</v>
      </c>
      <c r="BW1924" s="93" t="str">
        <f>I1924</f>
        <v>21</v>
      </c>
      <c r="BX1924" s="2" t="s">
        <v>2588</v>
      </c>
    </row>
    <row r="1925" spans="1:76" s="81" customFormat="1" ht="13.5" customHeight="1" x14ac:dyDescent="0.25">
      <c r="A1925" s="110"/>
      <c r="B1925" s="95"/>
      <c r="C1925" s="95"/>
      <c r="D1925" s="179" t="s">
        <v>2590</v>
      </c>
      <c r="E1925" s="179"/>
      <c r="F1925" s="179"/>
      <c r="G1925" s="179"/>
      <c r="H1925" s="179"/>
      <c r="I1925" s="179"/>
      <c r="J1925" s="179"/>
      <c r="K1925" s="179"/>
      <c r="L1925" s="179"/>
      <c r="M1925" s="179"/>
      <c r="N1925" s="179"/>
      <c r="O1925" s="179"/>
      <c r="P1925" s="179"/>
    </row>
    <row r="1926" spans="1:76" s="81" customFormat="1" ht="25.5" x14ac:dyDescent="0.25">
      <c r="A1926" s="66" t="s">
        <v>2599</v>
      </c>
      <c r="B1926" s="72" t="s">
        <v>55</v>
      </c>
      <c r="C1926" s="72" t="s">
        <v>2592</v>
      </c>
      <c r="D1926" s="174" t="s">
        <v>2593</v>
      </c>
      <c r="E1926" s="174"/>
      <c r="F1926" s="72" t="s">
        <v>2589</v>
      </c>
      <c r="G1926" s="90">
        <v>22034</v>
      </c>
      <c r="H1926" s="91"/>
      <c r="I1926" s="92" t="s">
        <v>63</v>
      </c>
      <c r="J1926" s="90">
        <f>G1926*AO1926</f>
        <v>0</v>
      </c>
      <c r="K1926" s="90">
        <f>G1926*AP1926</f>
        <v>0</v>
      </c>
      <c r="L1926" s="90">
        <f>G1926*H1926</f>
        <v>0</v>
      </c>
      <c r="M1926" s="90">
        <f>L1926*(1+BW1926/100)</f>
        <v>0</v>
      </c>
      <c r="N1926" s="90">
        <v>1.0499999999999999E-3</v>
      </c>
      <c r="O1926" s="90">
        <f>G1926*N1926</f>
        <v>23.1357</v>
      </c>
      <c r="P1926" s="92" t="s">
        <v>371</v>
      </c>
      <c r="Z1926" s="93">
        <f>IF(AQ1926="5",BJ1926,0)</f>
        <v>0</v>
      </c>
      <c r="AB1926" s="93">
        <f>IF(AQ1926="1",BH1926,0)</f>
        <v>0</v>
      </c>
      <c r="AC1926" s="93">
        <f>IF(AQ1926="1",BI1926,0)</f>
        <v>0</v>
      </c>
      <c r="AD1926" s="93">
        <f>IF(AQ1926="7",BH1926,0)</f>
        <v>0</v>
      </c>
      <c r="AE1926" s="93">
        <f>IF(AQ1926="7",BI1926,0)</f>
        <v>0</v>
      </c>
      <c r="AF1926" s="93">
        <f>IF(AQ1926="2",BH1926,0)</f>
        <v>0</v>
      </c>
      <c r="AG1926" s="93">
        <f>IF(AQ1926="2",BI1926,0)</f>
        <v>0</v>
      </c>
      <c r="AH1926" s="93">
        <f>IF(AQ1926="0",BJ1926,0)</f>
        <v>0</v>
      </c>
      <c r="AI1926" s="88" t="s">
        <v>55</v>
      </c>
      <c r="AJ1926" s="93">
        <f>IF(AN1926=0,L1926,0)</f>
        <v>0</v>
      </c>
      <c r="AK1926" s="93">
        <f>IF(AN1926=12,L1926,0)</f>
        <v>0</v>
      </c>
      <c r="AL1926" s="93">
        <f>IF(AN1926=21,L1926,0)</f>
        <v>0</v>
      </c>
      <c r="AN1926" s="93">
        <v>21</v>
      </c>
      <c r="AO1926" s="93">
        <f>H1926*0.643625693</f>
        <v>0</v>
      </c>
      <c r="AP1926" s="93">
        <f>H1926*(1-0.643625693)</f>
        <v>0</v>
      </c>
      <c r="AQ1926" s="94" t="s">
        <v>148</v>
      </c>
      <c r="AV1926" s="93">
        <f>AW1926+AX1926</f>
        <v>0</v>
      </c>
      <c r="AW1926" s="93">
        <f>G1926*AO1926</f>
        <v>0</v>
      </c>
      <c r="AX1926" s="93">
        <f>G1926*AP1926</f>
        <v>0</v>
      </c>
      <c r="AY1926" s="94" t="s">
        <v>2510</v>
      </c>
      <c r="AZ1926" s="94" t="s">
        <v>2247</v>
      </c>
      <c r="BA1926" s="88" t="s">
        <v>67</v>
      </c>
      <c r="BC1926" s="93">
        <f>AW1926+AX1926</f>
        <v>0</v>
      </c>
      <c r="BD1926" s="93">
        <f>H1926/(100-BE1926)*100</f>
        <v>0</v>
      </c>
      <c r="BE1926" s="93">
        <v>0</v>
      </c>
      <c r="BF1926" s="93">
        <f>O1926</f>
        <v>23.1357</v>
      </c>
      <c r="BH1926" s="93">
        <f>G1926*AO1926</f>
        <v>0</v>
      </c>
      <c r="BI1926" s="93">
        <f>G1926*AP1926</f>
        <v>0</v>
      </c>
      <c r="BJ1926" s="93">
        <f>G1926*H1926</f>
        <v>0</v>
      </c>
      <c r="BK1926" s="93"/>
      <c r="BL1926" s="93">
        <v>767</v>
      </c>
      <c r="BW1926" s="93" t="str">
        <f>I1926</f>
        <v>21</v>
      </c>
      <c r="BX1926" s="2" t="s">
        <v>2593</v>
      </c>
    </row>
    <row r="1927" spans="1:76" s="81" customFormat="1" ht="13.5" customHeight="1" x14ac:dyDescent="0.25">
      <c r="A1927" s="110"/>
      <c r="B1927" s="95"/>
      <c r="C1927" s="95"/>
      <c r="D1927" s="179" t="s">
        <v>2594</v>
      </c>
      <c r="E1927" s="179"/>
      <c r="F1927" s="179"/>
      <c r="G1927" s="179"/>
      <c r="H1927" s="179"/>
      <c r="I1927" s="179"/>
      <c r="J1927" s="179"/>
      <c r="K1927" s="179"/>
      <c r="L1927" s="179"/>
      <c r="M1927" s="179"/>
      <c r="N1927" s="179"/>
      <c r="O1927" s="179"/>
      <c r="P1927" s="179"/>
    </row>
    <row r="1928" spans="1:76" s="81" customFormat="1" ht="25.5" x14ac:dyDescent="0.25">
      <c r="A1928" s="66" t="s">
        <v>2603</v>
      </c>
      <c r="B1928" s="72" t="s">
        <v>55</v>
      </c>
      <c r="C1928" s="72" t="s">
        <v>2596</v>
      </c>
      <c r="D1928" s="174" t="s">
        <v>2597</v>
      </c>
      <c r="E1928" s="174"/>
      <c r="F1928" s="72" t="s">
        <v>2589</v>
      </c>
      <c r="G1928" s="90">
        <v>4771.3</v>
      </c>
      <c r="H1928" s="91"/>
      <c r="I1928" s="92" t="s">
        <v>63</v>
      </c>
      <c r="J1928" s="90">
        <f>G1928*AO1928</f>
        <v>0</v>
      </c>
      <c r="K1928" s="90">
        <f>G1928*AP1928</f>
        <v>0</v>
      </c>
      <c r="L1928" s="90">
        <f>G1928*H1928</f>
        <v>0</v>
      </c>
      <c r="M1928" s="90">
        <f>L1928*(1+BW1928/100)</f>
        <v>0</v>
      </c>
      <c r="N1928" s="90">
        <v>1.0499999999999999E-3</v>
      </c>
      <c r="O1928" s="90">
        <f>G1928*N1928</f>
        <v>5.0098649999999996</v>
      </c>
      <c r="P1928" s="92" t="s">
        <v>371</v>
      </c>
      <c r="Z1928" s="93">
        <f>IF(AQ1928="5",BJ1928,0)</f>
        <v>0</v>
      </c>
      <c r="AB1928" s="93">
        <f>IF(AQ1928="1",BH1928,0)</f>
        <v>0</v>
      </c>
      <c r="AC1928" s="93">
        <f>IF(AQ1928="1",BI1928,0)</f>
        <v>0</v>
      </c>
      <c r="AD1928" s="93">
        <f>IF(AQ1928="7",BH1928,0)</f>
        <v>0</v>
      </c>
      <c r="AE1928" s="93">
        <f>IF(AQ1928="7",BI1928,0)</f>
        <v>0</v>
      </c>
      <c r="AF1928" s="93">
        <f>IF(AQ1928="2",BH1928,0)</f>
        <v>0</v>
      </c>
      <c r="AG1928" s="93">
        <f>IF(AQ1928="2",BI1928,0)</f>
        <v>0</v>
      </c>
      <c r="AH1928" s="93">
        <f>IF(AQ1928="0",BJ1928,0)</f>
        <v>0</v>
      </c>
      <c r="AI1928" s="88" t="s">
        <v>55</v>
      </c>
      <c r="AJ1928" s="93">
        <f>IF(AN1928=0,L1928,0)</f>
        <v>0</v>
      </c>
      <c r="AK1928" s="93">
        <f>IF(AN1928=12,L1928,0)</f>
        <v>0</v>
      </c>
      <c r="AL1928" s="93">
        <f>IF(AN1928=21,L1928,0)</f>
        <v>0</v>
      </c>
      <c r="AN1928" s="93">
        <v>21</v>
      </c>
      <c r="AO1928" s="93">
        <f>H1928*0.643625697</f>
        <v>0</v>
      </c>
      <c r="AP1928" s="93">
        <f>H1928*(1-0.643625697)</f>
        <v>0</v>
      </c>
      <c r="AQ1928" s="94" t="s">
        <v>148</v>
      </c>
      <c r="AV1928" s="93">
        <f>AW1928+AX1928</f>
        <v>0</v>
      </c>
      <c r="AW1928" s="93">
        <f>G1928*AO1928</f>
        <v>0</v>
      </c>
      <c r="AX1928" s="93">
        <f>G1928*AP1928</f>
        <v>0</v>
      </c>
      <c r="AY1928" s="94" t="s">
        <v>2510</v>
      </c>
      <c r="AZ1928" s="94" t="s">
        <v>2247</v>
      </c>
      <c r="BA1928" s="88" t="s">
        <v>67</v>
      </c>
      <c r="BC1928" s="93">
        <f>AW1928+AX1928</f>
        <v>0</v>
      </c>
      <c r="BD1928" s="93">
        <f>H1928/(100-BE1928)*100</f>
        <v>0</v>
      </c>
      <c r="BE1928" s="93">
        <v>0</v>
      </c>
      <c r="BF1928" s="93">
        <f>O1928</f>
        <v>5.0098649999999996</v>
      </c>
      <c r="BH1928" s="93">
        <f>G1928*AO1928</f>
        <v>0</v>
      </c>
      <c r="BI1928" s="93">
        <f>G1928*AP1928</f>
        <v>0</v>
      </c>
      <c r="BJ1928" s="93">
        <f>G1928*H1928</f>
        <v>0</v>
      </c>
      <c r="BK1928" s="93"/>
      <c r="BL1928" s="93">
        <v>767</v>
      </c>
      <c r="BW1928" s="93" t="str">
        <f>I1928</f>
        <v>21</v>
      </c>
      <c r="BX1928" s="2" t="s">
        <v>2597</v>
      </c>
    </row>
    <row r="1929" spans="1:76" s="81" customFormat="1" ht="13.5" customHeight="1" x14ac:dyDescent="0.25">
      <c r="A1929" s="110"/>
      <c r="B1929" s="95"/>
      <c r="C1929" s="95"/>
      <c r="D1929" s="179" t="s">
        <v>2598</v>
      </c>
      <c r="E1929" s="179"/>
      <c r="F1929" s="179"/>
      <c r="G1929" s="179"/>
      <c r="H1929" s="179"/>
      <c r="I1929" s="179"/>
      <c r="J1929" s="179"/>
      <c r="K1929" s="179"/>
      <c r="L1929" s="179"/>
      <c r="M1929" s="179"/>
      <c r="N1929" s="179"/>
      <c r="O1929" s="179"/>
      <c r="P1929" s="179"/>
    </row>
    <row r="1930" spans="1:76" s="81" customFormat="1" ht="25.5" x14ac:dyDescent="0.25">
      <c r="A1930" s="66" t="s">
        <v>2607</v>
      </c>
      <c r="B1930" s="72" t="s">
        <v>55</v>
      </c>
      <c r="C1930" s="72" t="s">
        <v>2600</v>
      </c>
      <c r="D1930" s="174" t="s">
        <v>2601</v>
      </c>
      <c r="E1930" s="174"/>
      <c r="F1930" s="72" t="s">
        <v>2589</v>
      </c>
      <c r="G1930" s="90">
        <v>6561.8</v>
      </c>
      <c r="H1930" s="91"/>
      <c r="I1930" s="92" t="s">
        <v>63</v>
      </c>
      <c r="J1930" s="90">
        <f>G1930*AO1930</f>
        <v>0</v>
      </c>
      <c r="K1930" s="90">
        <f>G1930*AP1930</f>
        <v>0</v>
      </c>
      <c r="L1930" s="90">
        <f>G1930*H1930</f>
        <v>0</v>
      </c>
      <c r="M1930" s="90">
        <f>L1930*(1+BW1930/100)</f>
        <v>0</v>
      </c>
      <c r="N1930" s="90">
        <v>1.0499999999999999E-3</v>
      </c>
      <c r="O1930" s="90">
        <f>G1930*N1930</f>
        <v>6.8898899999999994</v>
      </c>
      <c r="P1930" s="92" t="s">
        <v>371</v>
      </c>
      <c r="Z1930" s="93">
        <f>IF(AQ1930="5",BJ1930,0)</f>
        <v>0</v>
      </c>
      <c r="AB1930" s="93">
        <f>IF(AQ1930="1",BH1930,0)</f>
        <v>0</v>
      </c>
      <c r="AC1930" s="93">
        <f>IF(AQ1930="1",BI1930,0)</f>
        <v>0</v>
      </c>
      <c r="AD1930" s="93">
        <f>IF(AQ1930="7",BH1930,0)</f>
        <v>0</v>
      </c>
      <c r="AE1930" s="93">
        <f>IF(AQ1930="7",BI1930,0)</f>
        <v>0</v>
      </c>
      <c r="AF1930" s="93">
        <f>IF(AQ1930="2",BH1930,0)</f>
        <v>0</v>
      </c>
      <c r="AG1930" s="93">
        <f>IF(AQ1930="2",BI1930,0)</f>
        <v>0</v>
      </c>
      <c r="AH1930" s="93">
        <f>IF(AQ1930="0",BJ1930,0)</f>
        <v>0</v>
      </c>
      <c r="AI1930" s="88" t="s">
        <v>55</v>
      </c>
      <c r="AJ1930" s="93">
        <f>IF(AN1930=0,L1930,0)</f>
        <v>0</v>
      </c>
      <c r="AK1930" s="93">
        <f>IF(AN1930=12,L1930,0)</f>
        <v>0</v>
      </c>
      <c r="AL1930" s="93">
        <f>IF(AN1930=21,L1930,0)</f>
        <v>0</v>
      </c>
      <c r="AN1930" s="93">
        <v>21</v>
      </c>
      <c r="AO1930" s="93">
        <f>H1930*0.643640124</f>
        <v>0</v>
      </c>
      <c r="AP1930" s="93">
        <f>H1930*(1-0.643640124)</f>
        <v>0</v>
      </c>
      <c r="AQ1930" s="94" t="s">
        <v>148</v>
      </c>
      <c r="AV1930" s="93">
        <f>AW1930+AX1930</f>
        <v>0</v>
      </c>
      <c r="AW1930" s="93">
        <f>G1930*AO1930</f>
        <v>0</v>
      </c>
      <c r="AX1930" s="93">
        <f>G1930*AP1930</f>
        <v>0</v>
      </c>
      <c r="AY1930" s="94" t="s">
        <v>2510</v>
      </c>
      <c r="AZ1930" s="94" t="s">
        <v>2247</v>
      </c>
      <c r="BA1930" s="88" t="s">
        <v>67</v>
      </c>
      <c r="BC1930" s="93">
        <f>AW1930+AX1930</f>
        <v>0</v>
      </c>
      <c r="BD1930" s="93">
        <f>H1930/(100-BE1930)*100</f>
        <v>0</v>
      </c>
      <c r="BE1930" s="93">
        <v>0</v>
      </c>
      <c r="BF1930" s="93">
        <f>O1930</f>
        <v>6.8898899999999994</v>
      </c>
      <c r="BH1930" s="93">
        <f>G1930*AO1930</f>
        <v>0</v>
      </c>
      <c r="BI1930" s="93">
        <f>G1930*AP1930</f>
        <v>0</v>
      </c>
      <c r="BJ1930" s="93">
        <f>G1930*H1930</f>
        <v>0</v>
      </c>
      <c r="BK1930" s="93"/>
      <c r="BL1930" s="93">
        <v>767</v>
      </c>
      <c r="BW1930" s="93" t="str">
        <f>I1930</f>
        <v>21</v>
      </c>
      <c r="BX1930" s="2" t="s">
        <v>2601</v>
      </c>
    </row>
    <row r="1931" spans="1:76" s="81" customFormat="1" ht="13.5" customHeight="1" x14ac:dyDescent="0.25">
      <c r="A1931" s="110"/>
      <c r="B1931" s="95"/>
      <c r="C1931" s="95"/>
      <c r="D1931" s="179" t="s">
        <v>2602</v>
      </c>
      <c r="E1931" s="179"/>
      <c r="F1931" s="179"/>
      <c r="G1931" s="179"/>
      <c r="H1931" s="179"/>
      <c r="I1931" s="179"/>
      <c r="J1931" s="179"/>
      <c r="K1931" s="179"/>
      <c r="L1931" s="179"/>
      <c r="M1931" s="179"/>
      <c r="N1931" s="179"/>
      <c r="O1931" s="179"/>
      <c r="P1931" s="179"/>
    </row>
    <row r="1932" spans="1:76" s="81" customFormat="1" ht="25.5" x14ac:dyDescent="0.25">
      <c r="A1932" s="66" t="s">
        <v>2611</v>
      </c>
      <c r="B1932" s="72" t="s">
        <v>55</v>
      </c>
      <c r="C1932" s="72" t="s">
        <v>2604</v>
      </c>
      <c r="D1932" s="174" t="s">
        <v>2605</v>
      </c>
      <c r="E1932" s="174"/>
      <c r="F1932" s="72" t="s">
        <v>2589</v>
      </c>
      <c r="G1932" s="90">
        <v>1952</v>
      </c>
      <c r="H1932" s="91"/>
      <c r="I1932" s="92" t="s">
        <v>63</v>
      </c>
      <c r="J1932" s="90">
        <f>G1932*AO1932</f>
        <v>0</v>
      </c>
      <c r="K1932" s="90">
        <f>G1932*AP1932</f>
        <v>0</v>
      </c>
      <c r="L1932" s="90">
        <f>G1932*H1932</f>
        <v>0</v>
      </c>
      <c r="M1932" s="90">
        <f>L1932*(1+BW1932/100)</f>
        <v>0</v>
      </c>
      <c r="N1932" s="90">
        <v>1.0499999999999999E-3</v>
      </c>
      <c r="O1932" s="90">
        <f>G1932*N1932</f>
        <v>2.0495999999999999</v>
      </c>
      <c r="P1932" s="92" t="s">
        <v>371</v>
      </c>
      <c r="Z1932" s="93">
        <f>IF(AQ1932="5",BJ1932,0)</f>
        <v>0</v>
      </c>
      <c r="AB1932" s="93">
        <f>IF(AQ1932="1",BH1932,0)</f>
        <v>0</v>
      </c>
      <c r="AC1932" s="93">
        <f>IF(AQ1932="1",BI1932,0)</f>
        <v>0</v>
      </c>
      <c r="AD1932" s="93">
        <f>IF(AQ1932="7",BH1932,0)</f>
        <v>0</v>
      </c>
      <c r="AE1932" s="93">
        <f>IF(AQ1932="7",BI1932,0)</f>
        <v>0</v>
      </c>
      <c r="AF1932" s="93">
        <f>IF(AQ1932="2",BH1932,0)</f>
        <v>0</v>
      </c>
      <c r="AG1932" s="93">
        <f>IF(AQ1932="2",BI1932,0)</f>
        <v>0</v>
      </c>
      <c r="AH1932" s="93">
        <f>IF(AQ1932="0",BJ1932,0)</f>
        <v>0</v>
      </c>
      <c r="AI1932" s="88" t="s">
        <v>55</v>
      </c>
      <c r="AJ1932" s="93">
        <f>IF(AN1932=0,L1932,0)</f>
        <v>0</v>
      </c>
      <c r="AK1932" s="93">
        <f>IF(AN1932=12,L1932,0)</f>
        <v>0</v>
      </c>
      <c r="AL1932" s="93">
        <f>IF(AN1932=21,L1932,0)</f>
        <v>0</v>
      </c>
      <c r="AN1932" s="93">
        <v>21</v>
      </c>
      <c r="AO1932" s="93">
        <f>H1932*0.643640124</f>
        <v>0</v>
      </c>
      <c r="AP1932" s="93">
        <f>H1932*(1-0.643640124)</f>
        <v>0</v>
      </c>
      <c r="AQ1932" s="94" t="s">
        <v>148</v>
      </c>
      <c r="AV1932" s="93">
        <f>AW1932+AX1932</f>
        <v>0</v>
      </c>
      <c r="AW1932" s="93">
        <f>G1932*AO1932</f>
        <v>0</v>
      </c>
      <c r="AX1932" s="93">
        <f>G1932*AP1932</f>
        <v>0</v>
      </c>
      <c r="AY1932" s="94" t="s">
        <v>2510</v>
      </c>
      <c r="AZ1932" s="94" t="s">
        <v>2247</v>
      </c>
      <c r="BA1932" s="88" t="s">
        <v>67</v>
      </c>
      <c r="BC1932" s="93">
        <f>AW1932+AX1932</f>
        <v>0</v>
      </c>
      <c r="BD1932" s="93">
        <f>H1932/(100-BE1932)*100</f>
        <v>0</v>
      </c>
      <c r="BE1932" s="93">
        <v>0</v>
      </c>
      <c r="BF1932" s="93">
        <f>O1932</f>
        <v>2.0495999999999999</v>
      </c>
      <c r="BH1932" s="93">
        <f>G1932*AO1932</f>
        <v>0</v>
      </c>
      <c r="BI1932" s="93">
        <f>G1932*AP1932</f>
        <v>0</v>
      </c>
      <c r="BJ1932" s="93">
        <f>G1932*H1932</f>
        <v>0</v>
      </c>
      <c r="BK1932" s="93"/>
      <c r="BL1932" s="93">
        <v>767</v>
      </c>
      <c r="BW1932" s="93" t="str">
        <f>I1932</f>
        <v>21</v>
      </c>
      <c r="BX1932" s="2" t="s">
        <v>2605</v>
      </c>
    </row>
    <row r="1933" spans="1:76" s="81" customFormat="1" ht="13.5" customHeight="1" x14ac:dyDescent="0.25">
      <c r="A1933" s="110"/>
      <c r="B1933" s="95"/>
      <c r="C1933" s="95"/>
      <c r="D1933" s="179" t="s">
        <v>2606</v>
      </c>
      <c r="E1933" s="179"/>
      <c r="F1933" s="179"/>
      <c r="G1933" s="179"/>
      <c r="H1933" s="179"/>
      <c r="I1933" s="179"/>
      <c r="J1933" s="179"/>
      <c r="K1933" s="179"/>
      <c r="L1933" s="179"/>
      <c r="M1933" s="179"/>
      <c r="N1933" s="179"/>
      <c r="O1933" s="179"/>
      <c r="P1933" s="179"/>
    </row>
    <row r="1934" spans="1:76" s="81" customFormat="1" ht="25.5" x14ac:dyDescent="0.25">
      <c r="A1934" s="66" t="s">
        <v>2615</v>
      </c>
      <c r="B1934" s="72" t="s">
        <v>55</v>
      </c>
      <c r="C1934" s="72" t="s">
        <v>2608</v>
      </c>
      <c r="D1934" s="174" t="s">
        <v>2609</v>
      </c>
      <c r="E1934" s="174"/>
      <c r="F1934" s="72" t="s">
        <v>2589</v>
      </c>
      <c r="G1934" s="90">
        <v>7481.7</v>
      </c>
      <c r="H1934" s="91"/>
      <c r="I1934" s="92" t="s">
        <v>63</v>
      </c>
      <c r="J1934" s="90">
        <f>G1934*AO1934</f>
        <v>0</v>
      </c>
      <c r="K1934" s="90">
        <f>G1934*AP1934</f>
        <v>0</v>
      </c>
      <c r="L1934" s="90">
        <f>G1934*H1934</f>
        <v>0</v>
      </c>
      <c r="M1934" s="90">
        <f>L1934*(1+BW1934/100)</f>
        <v>0</v>
      </c>
      <c r="N1934" s="90">
        <v>1.0499999999999999E-3</v>
      </c>
      <c r="O1934" s="90">
        <f>G1934*N1934</f>
        <v>7.8557849999999991</v>
      </c>
      <c r="P1934" s="92" t="s">
        <v>371</v>
      </c>
      <c r="Z1934" s="93">
        <f>IF(AQ1934="5",BJ1934,0)</f>
        <v>0</v>
      </c>
      <c r="AB1934" s="93">
        <f>IF(AQ1934="1",BH1934,0)</f>
        <v>0</v>
      </c>
      <c r="AC1934" s="93">
        <f>IF(AQ1934="1",BI1934,0)</f>
        <v>0</v>
      </c>
      <c r="AD1934" s="93">
        <f>IF(AQ1934="7",BH1934,0)</f>
        <v>0</v>
      </c>
      <c r="AE1934" s="93">
        <f>IF(AQ1934="7",BI1934,0)</f>
        <v>0</v>
      </c>
      <c r="AF1934" s="93">
        <f>IF(AQ1934="2",BH1934,0)</f>
        <v>0</v>
      </c>
      <c r="AG1934" s="93">
        <f>IF(AQ1934="2",BI1934,0)</f>
        <v>0</v>
      </c>
      <c r="AH1934" s="93">
        <f>IF(AQ1934="0",BJ1934,0)</f>
        <v>0</v>
      </c>
      <c r="AI1934" s="88" t="s">
        <v>55</v>
      </c>
      <c r="AJ1934" s="93">
        <f>IF(AN1934=0,L1934,0)</f>
        <v>0</v>
      </c>
      <c r="AK1934" s="93">
        <f>IF(AN1934=12,L1934,0)</f>
        <v>0</v>
      </c>
      <c r="AL1934" s="93">
        <f>IF(AN1934=21,L1934,0)</f>
        <v>0</v>
      </c>
      <c r="AN1934" s="93">
        <v>21</v>
      </c>
      <c r="AO1934" s="93">
        <f>H1934*0.643640124</f>
        <v>0</v>
      </c>
      <c r="AP1934" s="93">
        <f>H1934*(1-0.643640124)</f>
        <v>0</v>
      </c>
      <c r="AQ1934" s="94" t="s">
        <v>148</v>
      </c>
      <c r="AV1934" s="93">
        <f>AW1934+AX1934</f>
        <v>0</v>
      </c>
      <c r="AW1934" s="93">
        <f>G1934*AO1934</f>
        <v>0</v>
      </c>
      <c r="AX1934" s="93">
        <f>G1934*AP1934</f>
        <v>0</v>
      </c>
      <c r="AY1934" s="94" t="s">
        <v>2510</v>
      </c>
      <c r="AZ1934" s="94" t="s">
        <v>2247</v>
      </c>
      <c r="BA1934" s="88" t="s">
        <v>67</v>
      </c>
      <c r="BC1934" s="93">
        <f>AW1934+AX1934</f>
        <v>0</v>
      </c>
      <c r="BD1934" s="93">
        <f>H1934/(100-BE1934)*100</f>
        <v>0</v>
      </c>
      <c r="BE1934" s="93">
        <v>0</v>
      </c>
      <c r="BF1934" s="93">
        <f>O1934</f>
        <v>7.8557849999999991</v>
      </c>
      <c r="BH1934" s="93">
        <f>G1934*AO1934</f>
        <v>0</v>
      </c>
      <c r="BI1934" s="93">
        <f>G1934*AP1934</f>
        <v>0</v>
      </c>
      <c r="BJ1934" s="93">
        <f>G1934*H1934</f>
        <v>0</v>
      </c>
      <c r="BK1934" s="93"/>
      <c r="BL1934" s="93">
        <v>767</v>
      </c>
      <c r="BW1934" s="93" t="str">
        <f>I1934</f>
        <v>21</v>
      </c>
      <c r="BX1934" s="2" t="s">
        <v>2609</v>
      </c>
    </row>
    <row r="1935" spans="1:76" s="81" customFormat="1" ht="13.5" customHeight="1" x14ac:dyDescent="0.25">
      <c r="A1935" s="110"/>
      <c r="B1935" s="95"/>
      <c r="C1935" s="95"/>
      <c r="D1935" s="179" t="s">
        <v>2610</v>
      </c>
      <c r="E1935" s="179"/>
      <c r="F1935" s="179"/>
      <c r="G1935" s="179"/>
      <c r="H1935" s="179"/>
      <c r="I1935" s="179"/>
      <c r="J1935" s="179"/>
      <c r="K1935" s="179"/>
      <c r="L1935" s="179"/>
      <c r="M1935" s="179"/>
      <c r="N1935" s="179"/>
      <c r="O1935" s="179"/>
      <c r="P1935" s="179"/>
    </row>
    <row r="1936" spans="1:76" s="81" customFormat="1" ht="25.5" x14ac:dyDescent="0.25">
      <c r="A1936" s="66" t="s">
        <v>2633</v>
      </c>
      <c r="B1936" s="72" t="s">
        <v>55</v>
      </c>
      <c r="C1936" s="72" t="s">
        <v>2612</v>
      </c>
      <c r="D1936" s="174" t="s">
        <v>2613</v>
      </c>
      <c r="E1936" s="174"/>
      <c r="F1936" s="72" t="s">
        <v>2589</v>
      </c>
      <c r="G1936" s="90">
        <v>670</v>
      </c>
      <c r="H1936" s="91"/>
      <c r="I1936" s="92" t="s">
        <v>63</v>
      </c>
      <c r="J1936" s="90">
        <f>G1936*AO1936</f>
        <v>0</v>
      </c>
      <c r="K1936" s="90">
        <f>G1936*AP1936</f>
        <v>0</v>
      </c>
      <c r="L1936" s="90">
        <f>G1936*H1936</f>
        <v>0</v>
      </c>
      <c r="M1936" s="90">
        <f>L1936*(1+BW1936/100)</f>
        <v>0</v>
      </c>
      <c r="N1936" s="90">
        <v>1.0499999999999999E-3</v>
      </c>
      <c r="O1936" s="90">
        <f>G1936*N1936</f>
        <v>0.7034999999999999</v>
      </c>
      <c r="P1936" s="92" t="s">
        <v>371</v>
      </c>
      <c r="Z1936" s="93">
        <f>IF(AQ1936="5",BJ1936,0)</f>
        <v>0</v>
      </c>
      <c r="AB1936" s="93">
        <f>IF(AQ1936="1",BH1936,0)</f>
        <v>0</v>
      </c>
      <c r="AC1936" s="93">
        <f>IF(AQ1936="1",BI1936,0)</f>
        <v>0</v>
      </c>
      <c r="AD1936" s="93">
        <f>IF(AQ1936="7",BH1936,0)</f>
        <v>0</v>
      </c>
      <c r="AE1936" s="93">
        <f>IF(AQ1936="7",BI1936,0)</f>
        <v>0</v>
      </c>
      <c r="AF1936" s="93">
        <f>IF(AQ1936="2",BH1936,0)</f>
        <v>0</v>
      </c>
      <c r="AG1936" s="93">
        <f>IF(AQ1936="2",BI1936,0)</f>
        <v>0</v>
      </c>
      <c r="AH1936" s="93">
        <f>IF(AQ1936="0",BJ1936,0)</f>
        <v>0</v>
      </c>
      <c r="AI1936" s="88" t="s">
        <v>55</v>
      </c>
      <c r="AJ1936" s="93">
        <f>IF(AN1936=0,L1936,0)</f>
        <v>0</v>
      </c>
      <c r="AK1936" s="93">
        <f>IF(AN1936=12,L1936,0)</f>
        <v>0</v>
      </c>
      <c r="AL1936" s="93">
        <f>IF(AN1936=21,L1936,0)</f>
        <v>0</v>
      </c>
      <c r="AN1936" s="93">
        <v>21</v>
      </c>
      <c r="AO1936" s="93">
        <f>H1936*0.643640124</f>
        <v>0</v>
      </c>
      <c r="AP1936" s="93">
        <f>H1936*(1-0.643640124)</f>
        <v>0</v>
      </c>
      <c r="AQ1936" s="94" t="s">
        <v>148</v>
      </c>
      <c r="AV1936" s="93">
        <f>AW1936+AX1936</f>
        <v>0</v>
      </c>
      <c r="AW1936" s="93">
        <f>G1936*AO1936</f>
        <v>0</v>
      </c>
      <c r="AX1936" s="93">
        <f>G1936*AP1936</f>
        <v>0</v>
      </c>
      <c r="AY1936" s="94" t="s">
        <v>2510</v>
      </c>
      <c r="AZ1936" s="94" t="s">
        <v>2247</v>
      </c>
      <c r="BA1936" s="88" t="s">
        <v>67</v>
      </c>
      <c r="BC1936" s="93">
        <f>AW1936+AX1936</f>
        <v>0</v>
      </c>
      <c r="BD1936" s="93">
        <f>H1936/(100-BE1936)*100</f>
        <v>0</v>
      </c>
      <c r="BE1936" s="93">
        <v>0</v>
      </c>
      <c r="BF1936" s="93">
        <f>O1936</f>
        <v>0.7034999999999999</v>
      </c>
      <c r="BH1936" s="93">
        <f>G1936*AO1936</f>
        <v>0</v>
      </c>
      <c r="BI1936" s="93">
        <f>G1936*AP1936</f>
        <v>0</v>
      </c>
      <c r="BJ1936" s="93">
        <f>G1936*H1936</f>
        <v>0</v>
      </c>
      <c r="BK1936" s="93"/>
      <c r="BL1936" s="93">
        <v>767</v>
      </c>
      <c r="BW1936" s="93" t="str">
        <f>I1936</f>
        <v>21</v>
      </c>
      <c r="BX1936" s="2" t="s">
        <v>2613</v>
      </c>
    </row>
    <row r="1937" spans="1:76" s="81" customFormat="1" ht="13.5" customHeight="1" x14ac:dyDescent="0.25">
      <c r="A1937" s="110"/>
      <c r="B1937" s="95"/>
      <c r="C1937" s="95"/>
      <c r="D1937" s="179" t="s">
        <v>2614</v>
      </c>
      <c r="E1937" s="179"/>
      <c r="F1937" s="179"/>
      <c r="G1937" s="179"/>
      <c r="H1937" s="179"/>
      <c r="I1937" s="179"/>
      <c r="J1937" s="179"/>
      <c r="K1937" s="179"/>
      <c r="L1937" s="179"/>
      <c r="M1937" s="179"/>
      <c r="N1937" s="179"/>
      <c r="O1937" s="179"/>
      <c r="P1937" s="179"/>
    </row>
    <row r="1938" spans="1:76" s="81" customFormat="1" ht="25.5" x14ac:dyDescent="0.25">
      <c r="A1938" s="66" t="s">
        <v>2637</v>
      </c>
      <c r="B1938" s="72" t="s">
        <v>55</v>
      </c>
      <c r="C1938" s="72" t="s">
        <v>2616</v>
      </c>
      <c r="D1938" s="174" t="s">
        <v>2617</v>
      </c>
      <c r="E1938" s="174"/>
      <c r="F1938" s="72" t="s">
        <v>2589</v>
      </c>
      <c r="G1938" s="90">
        <v>7184.076</v>
      </c>
      <c r="H1938" s="91"/>
      <c r="I1938" s="92" t="s">
        <v>63</v>
      </c>
      <c r="J1938" s="90">
        <f>G1938*AO1938</f>
        <v>0</v>
      </c>
      <c r="K1938" s="90">
        <f>G1938*AP1938</f>
        <v>0</v>
      </c>
      <c r="L1938" s="90">
        <f>G1938*H1938</f>
        <v>0</v>
      </c>
      <c r="M1938" s="90">
        <f>L1938*(1+BW1938/100)</f>
        <v>0</v>
      </c>
      <c r="N1938" s="90">
        <v>1.0499999999999999E-3</v>
      </c>
      <c r="O1938" s="90">
        <f>G1938*N1938</f>
        <v>7.5432797999999996</v>
      </c>
      <c r="P1938" s="92" t="s">
        <v>371</v>
      </c>
      <c r="Z1938" s="93">
        <f>IF(AQ1938="5",BJ1938,0)</f>
        <v>0</v>
      </c>
      <c r="AB1938" s="93">
        <f>IF(AQ1938="1",BH1938,0)</f>
        <v>0</v>
      </c>
      <c r="AC1938" s="93">
        <f>IF(AQ1938="1",BI1938,0)</f>
        <v>0</v>
      </c>
      <c r="AD1938" s="93">
        <f>IF(AQ1938="7",BH1938,0)</f>
        <v>0</v>
      </c>
      <c r="AE1938" s="93">
        <f>IF(AQ1938="7",BI1938,0)</f>
        <v>0</v>
      </c>
      <c r="AF1938" s="93">
        <f>IF(AQ1938="2",BH1938,0)</f>
        <v>0</v>
      </c>
      <c r="AG1938" s="93">
        <f>IF(AQ1938="2",BI1938,0)</f>
        <v>0</v>
      </c>
      <c r="AH1938" s="93">
        <f>IF(AQ1938="0",BJ1938,0)</f>
        <v>0</v>
      </c>
      <c r="AI1938" s="88" t="s">
        <v>55</v>
      </c>
      <c r="AJ1938" s="93">
        <f>IF(AN1938=0,L1938,0)</f>
        <v>0</v>
      </c>
      <c r="AK1938" s="93">
        <f>IF(AN1938=12,L1938,0)</f>
        <v>0</v>
      </c>
      <c r="AL1938" s="93">
        <f>IF(AN1938=21,L1938,0)</f>
        <v>0</v>
      </c>
      <c r="AN1938" s="93">
        <v>21</v>
      </c>
      <c r="AO1938" s="93">
        <f>H1938*0.643640123</f>
        <v>0</v>
      </c>
      <c r="AP1938" s="93">
        <f>H1938*(1-0.643640123)</f>
        <v>0</v>
      </c>
      <c r="AQ1938" s="94" t="s">
        <v>148</v>
      </c>
      <c r="AV1938" s="93">
        <f>AW1938+AX1938</f>
        <v>0</v>
      </c>
      <c r="AW1938" s="93">
        <f>G1938*AO1938</f>
        <v>0</v>
      </c>
      <c r="AX1938" s="93">
        <f>G1938*AP1938</f>
        <v>0</v>
      </c>
      <c r="AY1938" s="94" t="s">
        <v>2510</v>
      </c>
      <c r="AZ1938" s="94" t="s">
        <v>2247</v>
      </c>
      <c r="BA1938" s="88" t="s">
        <v>67</v>
      </c>
      <c r="BC1938" s="93">
        <f>AW1938+AX1938</f>
        <v>0</v>
      </c>
      <c r="BD1938" s="93">
        <f>H1938/(100-BE1938)*100</f>
        <v>0</v>
      </c>
      <c r="BE1938" s="93">
        <v>0</v>
      </c>
      <c r="BF1938" s="93">
        <f>O1938</f>
        <v>7.5432797999999996</v>
      </c>
      <c r="BH1938" s="93">
        <f>G1938*AO1938</f>
        <v>0</v>
      </c>
      <c r="BI1938" s="93">
        <f>G1938*AP1938</f>
        <v>0</v>
      </c>
      <c r="BJ1938" s="93">
        <f>G1938*H1938</f>
        <v>0</v>
      </c>
      <c r="BK1938" s="93"/>
      <c r="BL1938" s="93">
        <v>767</v>
      </c>
      <c r="BW1938" s="93" t="str">
        <f>I1938</f>
        <v>21</v>
      </c>
      <c r="BX1938" s="2" t="s">
        <v>2617</v>
      </c>
    </row>
    <row r="1939" spans="1:76" s="81" customFormat="1" ht="13.5" customHeight="1" x14ac:dyDescent="0.25">
      <c r="A1939" s="110"/>
      <c r="B1939" s="95"/>
      <c r="C1939" s="95"/>
      <c r="D1939" s="179" t="s">
        <v>2618</v>
      </c>
      <c r="E1939" s="179"/>
      <c r="F1939" s="179"/>
      <c r="G1939" s="179"/>
      <c r="H1939" s="179"/>
      <c r="I1939" s="179"/>
      <c r="J1939" s="179"/>
      <c r="K1939" s="179"/>
      <c r="L1939" s="179"/>
      <c r="M1939" s="179"/>
      <c r="N1939" s="179"/>
      <c r="O1939" s="179"/>
      <c r="P1939" s="179"/>
    </row>
    <row r="1940" spans="1:76" s="81" customFormat="1" x14ac:dyDescent="0.25">
      <c r="A1940" s="110"/>
      <c r="B1940" s="95"/>
      <c r="C1940" s="95"/>
      <c r="D1940" s="76" t="s">
        <v>54</v>
      </c>
      <c r="E1940" s="76" t="s">
        <v>2619</v>
      </c>
      <c r="F1940" s="95"/>
      <c r="G1940" s="96">
        <v>0</v>
      </c>
      <c r="H1940" s="95"/>
      <c r="I1940" s="95"/>
      <c r="J1940" s="95"/>
      <c r="K1940" s="95"/>
      <c r="L1940" s="95"/>
      <c r="M1940" s="95"/>
      <c r="N1940" s="95"/>
      <c r="O1940" s="95"/>
      <c r="P1940" s="95"/>
    </row>
    <row r="1941" spans="1:76" s="81" customFormat="1" ht="25.5" x14ac:dyDescent="0.25">
      <c r="A1941" s="110"/>
      <c r="B1941" s="95"/>
      <c r="C1941" s="95"/>
      <c r="D1941" s="76" t="s">
        <v>2620</v>
      </c>
      <c r="E1941" s="76" t="s">
        <v>2621</v>
      </c>
      <c r="F1941" s="95"/>
      <c r="G1941" s="96">
        <v>1519</v>
      </c>
      <c r="H1941" s="95"/>
      <c r="I1941" s="95"/>
      <c r="J1941" s="95"/>
      <c r="K1941" s="95"/>
      <c r="L1941" s="95"/>
      <c r="M1941" s="95"/>
      <c r="N1941" s="95"/>
      <c r="O1941" s="95"/>
      <c r="P1941" s="95"/>
    </row>
    <row r="1942" spans="1:76" s="81" customFormat="1" ht="25.5" x14ac:dyDescent="0.25">
      <c r="A1942" s="110"/>
      <c r="B1942" s="95"/>
      <c r="C1942" s="95"/>
      <c r="D1942" s="76" t="s">
        <v>2622</v>
      </c>
      <c r="E1942" s="76" t="s">
        <v>2623</v>
      </c>
      <c r="F1942" s="95"/>
      <c r="G1942" s="96">
        <v>897.5</v>
      </c>
      <c r="H1942" s="95"/>
      <c r="I1942" s="95"/>
      <c r="J1942" s="95"/>
      <c r="K1942" s="95"/>
      <c r="L1942" s="95"/>
      <c r="M1942" s="95"/>
      <c r="N1942" s="95"/>
      <c r="O1942" s="95"/>
      <c r="P1942" s="95"/>
    </row>
    <row r="1943" spans="1:76" s="81" customFormat="1" x14ac:dyDescent="0.25">
      <c r="A1943" s="110"/>
      <c r="B1943" s="95"/>
      <c r="C1943" s="95"/>
      <c r="D1943" s="76" t="s">
        <v>2624</v>
      </c>
      <c r="E1943" s="76" t="s">
        <v>2625</v>
      </c>
      <c r="F1943" s="95"/>
      <c r="G1943" s="96">
        <v>1316</v>
      </c>
      <c r="H1943" s="95"/>
      <c r="I1943" s="95"/>
      <c r="J1943" s="95"/>
      <c r="K1943" s="95"/>
      <c r="L1943" s="95"/>
      <c r="M1943" s="95"/>
      <c r="N1943" s="95"/>
      <c r="O1943" s="95"/>
      <c r="P1943" s="95"/>
    </row>
    <row r="1944" spans="1:76" s="81" customFormat="1" ht="38.25" x14ac:dyDescent="0.25">
      <c r="A1944" s="110"/>
      <c r="B1944" s="95"/>
      <c r="C1944" s="95"/>
      <c r="D1944" s="76" t="s">
        <v>2626</v>
      </c>
      <c r="E1944" s="76" t="s">
        <v>2627</v>
      </c>
      <c r="F1944" s="95"/>
      <c r="G1944" s="96">
        <v>568</v>
      </c>
      <c r="H1944" s="95"/>
      <c r="I1944" s="95"/>
      <c r="J1944" s="95"/>
      <c r="K1944" s="95"/>
      <c r="L1944" s="95"/>
      <c r="M1944" s="95"/>
      <c r="N1944" s="95"/>
      <c r="O1944" s="95"/>
      <c r="P1944" s="95"/>
    </row>
    <row r="1945" spans="1:76" s="81" customFormat="1" ht="38.25" x14ac:dyDescent="0.25">
      <c r="A1945" s="110"/>
      <c r="B1945" s="95"/>
      <c r="C1945" s="95"/>
      <c r="D1945" s="76" t="s">
        <v>2628</v>
      </c>
      <c r="E1945" s="76" t="s">
        <v>2629</v>
      </c>
      <c r="F1945" s="95"/>
      <c r="G1945" s="96">
        <v>1656.23</v>
      </c>
      <c r="H1945" s="95"/>
      <c r="I1945" s="95"/>
      <c r="J1945" s="95"/>
      <c r="K1945" s="95"/>
      <c r="L1945" s="95"/>
      <c r="M1945" s="95"/>
      <c r="N1945" s="95"/>
      <c r="O1945" s="95"/>
      <c r="P1945" s="95"/>
    </row>
    <row r="1946" spans="1:76" s="81" customFormat="1" ht="25.5" x14ac:dyDescent="0.25">
      <c r="A1946" s="110"/>
      <c r="B1946" s="95"/>
      <c r="C1946" s="95"/>
      <c r="D1946" s="76" t="s">
        <v>291</v>
      </c>
      <c r="E1946" s="76" t="s">
        <v>2630</v>
      </c>
      <c r="F1946" s="95"/>
      <c r="G1946" s="96">
        <v>30</v>
      </c>
      <c r="H1946" s="95"/>
      <c r="I1946" s="95"/>
      <c r="J1946" s="95"/>
      <c r="K1946" s="95"/>
      <c r="L1946" s="95"/>
      <c r="M1946" s="95"/>
      <c r="N1946" s="95"/>
      <c r="O1946" s="95"/>
      <c r="P1946" s="95"/>
    </row>
    <row r="1947" spans="1:76" s="81" customFormat="1" x14ac:dyDescent="0.25">
      <c r="A1947" s="110"/>
      <c r="B1947" s="95"/>
      <c r="C1947" s="95"/>
      <c r="D1947" s="76" t="s">
        <v>2631</v>
      </c>
      <c r="E1947" s="76" t="s">
        <v>2632</v>
      </c>
      <c r="F1947" s="95"/>
      <c r="G1947" s="96">
        <v>1197.346</v>
      </c>
      <c r="H1947" s="95"/>
      <c r="I1947" s="95"/>
      <c r="J1947" s="95"/>
      <c r="K1947" s="95"/>
      <c r="L1947" s="95"/>
      <c r="M1947" s="95"/>
      <c r="N1947" s="95"/>
      <c r="O1947" s="95"/>
      <c r="P1947" s="95"/>
    </row>
    <row r="1948" spans="1:76" s="81" customFormat="1" ht="25.5" x14ac:dyDescent="0.25">
      <c r="A1948" s="66" t="s">
        <v>2641</v>
      </c>
      <c r="B1948" s="72" t="s">
        <v>55</v>
      </c>
      <c r="C1948" s="72" t="s">
        <v>2634</v>
      </c>
      <c r="D1948" s="174" t="s">
        <v>2635</v>
      </c>
      <c r="E1948" s="174"/>
      <c r="F1948" s="72" t="s">
        <v>192</v>
      </c>
      <c r="G1948" s="90">
        <v>63.279000000000003</v>
      </c>
      <c r="H1948" s="91"/>
      <c r="I1948" s="92" t="s">
        <v>63</v>
      </c>
      <c r="J1948" s="90">
        <f>G1948*AO1948</f>
        <v>0</v>
      </c>
      <c r="K1948" s="90">
        <f>G1948*AP1948</f>
        <v>0</v>
      </c>
      <c r="L1948" s="90">
        <f>G1948*H1948</f>
        <v>0</v>
      </c>
      <c r="M1948" s="90">
        <f>L1948*(1+BW1948/100)</f>
        <v>0</v>
      </c>
      <c r="N1948" s="90">
        <v>2.1919999999999999E-2</v>
      </c>
      <c r="O1948" s="90">
        <f>G1948*N1948</f>
        <v>1.3870756799999999</v>
      </c>
      <c r="P1948" s="92" t="s">
        <v>578</v>
      </c>
      <c r="Z1948" s="93">
        <f>IF(AQ1948="5",BJ1948,0)</f>
        <v>0</v>
      </c>
      <c r="AB1948" s="93">
        <f>IF(AQ1948="1",BH1948,0)</f>
        <v>0</v>
      </c>
      <c r="AC1948" s="93">
        <f>IF(AQ1948="1",BI1948,0)</f>
        <v>0</v>
      </c>
      <c r="AD1948" s="93">
        <f>IF(AQ1948="7",BH1948,0)</f>
        <v>0</v>
      </c>
      <c r="AE1948" s="93">
        <f>IF(AQ1948="7",BI1948,0)</f>
        <v>0</v>
      </c>
      <c r="AF1948" s="93">
        <f>IF(AQ1948="2",BH1948,0)</f>
        <v>0</v>
      </c>
      <c r="AG1948" s="93">
        <f>IF(AQ1948="2",BI1948,0)</f>
        <v>0</v>
      </c>
      <c r="AH1948" s="93">
        <f>IF(AQ1948="0",BJ1948,0)</f>
        <v>0</v>
      </c>
      <c r="AI1948" s="88" t="s">
        <v>55</v>
      </c>
      <c r="AJ1948" s="93">
        <f>IF(AN1948=0,L1948,0)</f>
        <v>0</v>
      </c>
      <c r="AK1948" s="93">
        <f>IF(AN1948=12,L1948,0)</f>
        <v>0</v>
      </c>
      <c r="AL1948" s="93">
        <f>IF(AN1948=21,L1948,0)</f>
        <v>0</v>
      </c>
      <c r="AN1948" s="93">
        <v>21</v>
      </c>
      <c r="AO1948" s="93">
        <f>H1948*0</f>
        <v>0</v>
      </c>
      <c r="AP1948" s="93">
        <f>H1948*(1-0)</f>
        <v>0</v>
      </c>
      <c r="AQ1948" s="94" t="s">
        <v>148</v>
      </c>
      <c r="AV1948" s="93">
        <f>AW1948+AX1948</f>
        <v>0</v>
      </c>
      <c r="AW1948" s="93">
        <f>G1948*AO1948</f>
        <v>0</v>
      </c>
      <c r="AX1948" s="93">
        <f>G1948*AP1948</f>
        <v>0</v>
      </c>
      <c r="AY1948" s="94" t="s">
        <v>2510</v>
      </c>
      <c r="AZ1948" s="94" t="s">
        <v>2247</v>
      </c>
      <c r="BA1948" s="88" t="s">
        <v>67</v>
      </c>
      <c r="BC1948" s="93">
        <f>AW1948+AX1948</f>
        <v>0</v>
      </c>
      <c r="BD1948" s="93">
        <f>H1948/(100-BE1948)*100</f>
        <v>0</v>
      </c>
      <c r="BE1948" s="93">
        <v>0</v>
      </c>
      <c r="BF1948" s="93">
        <f>O1948</f>
        <v>1.3870756799999999</v>
      </c>
      <c r="BH1948" s="93">
        <f>G1948*AO1948</f>
        <v>0</v>
      </c>
      <c r="BI1948" s="93">
        <f>G1948*AP1948</f>
        <v>0</v>
      </c>
      <c r="BJ1948" s="93">
        <f>G1948*H1948</f>
        <v>0</v>
      </c>
      <c r="BK1948" s="93"/>
      <c r="BL1948" s="93">
        <v>767</v>
      </c>
      <c r="BW1948" s="93" t="str">
        <f>I1948</f>
        <v>21</v>
      </c>
      <c r="BX1948" s="2" t="s">
        <v>2635</v>
      </c>
    </row>
    <row r="1949" spans="1:76" s="81" customFormat="1" x14ac:dyDescent="0.25">
      <c r="A1949" s="110"/>
      <c r="B1949" s="95"/>
      <c r="C1949" s="95"/>
      <c r="D1949" s="76" t="s">
        <v>2636</v>
      </c>
      <c r="E1949" s="76" t="s">
        <v>215</v>
      </c>
      <c r="F1949" s="95"/>
      <c r="G1949" s="96">
        <v>63.279000000000003</v>
      </c>
      <c r="H1949" s="95"/>
      <c r="I1949" s="95"/>
      <c r="J1949" s="95"/>
      <c r="K1949" s="95"/>
      <c r="L1949" s="95"/>
      <c r="M1949" s="95"/>
      <c r="N1949" s="95"/>
      <c r="O1949" s="95"/>
      <c r="P1949" s="95"/>
    </row>
    <row r="1950" spans="1:76" s="81" customFormat="1" ht="25.5" x14ac:dyDescent="0.25">
      <c r="A1950" s="66" t="s">
        <v>2644</v>
      </c>
      <c r="B1950" s="72" t="s">
        <v>55</v>
      </c>
      <c r="C1950" s="72" t="s">
        <v>2638</v>
      </c>
      <c r="D1950" s="174" t="s">
        <v>2639</v>
      </c>
      <c r="E1950" s="174"/>
      <c r="F1950" s="72" t="s">
        <v>192</v>
      </c>
      <c r="G1950" s="90">
        <v>136.19999999999999</v>
      </c>
      <c r="H1950" s="91"/>
      <c r="I1950" s="92" t="s">
        <v>63</v>
      </c>
      <c r="J1950" s="90">
        <f>G1950*AO1950</f>
        <v>0</v>
      </c>
      <c r="K1950" s="90">
        <f>G1950*AP1950</f>
        <v>0</v>
      </c>
      <c r="L1950" s="90">
        <f>G1950*H1950</f>
        <v>0</v>
      </c>
      <c r="M1950" s="90">
        <f>L1950*(1+BW1950/100)</f>
        <v>0</v>
      </c>
      <c r="N1950" s="90">
        <v>5.1000000000000004E-4</v>
      </c>
      <c r="O1950" s="90">
        <f>G1950*N1950</f>
        <v>6.9461999999999996E-2</v>
      </c>
      <c r="P1950" s="92" t="s">
        <v>371</v>
      </c>
      <c r="Z1950" s="93">
        <f>IF(AQ1950="5",BJ1950,0)</f>
        <v>0</v>
      </c>
      <c r="AB1950" s="93">
        <f>IF(AQ1950="1",BH1950,0)</f>
        <v>0</v>
      </c>
      <c r="AC1950" s="93">
        <f>IF(AQ1950="1",BI1950,0)</f>
        <v>0</v>
      </c>
      <c r="AD1950" s="93">
        <f>IF(AQ1950="7",BH1950,0)</f>
        <v>0</v>
      </c>
      <c r="AE1950" s="93">
        <f>IF(AQ1950="7",BI1950,0)</f>
        <v>0</v>
      </c>
      <c r="AF1950" s="93">
        <f>IF(AQ1950="2",BH1950,0)</f>
        <v>0</v>
      </c>
      <c r="AG1950" s="93">
        <f>IF(AQ1950="2",BI1950,0)</f>
        <v>0</v>
      </c>
      <c r="AH1950" s="93">
        <f>IF(AQ1950="0",BJ1950,0)</f>
        <v>0</v>
      </c>
      <c r="AI1950" s="88" t="s">
        <v>55</v>
      </c>
      <c r="AJ1950" s="93">
        <f>IF(AN1950=0,L1950,0)</f>
        <v>0</v>
      </c>
      <c r="AK1950" s="93">
        <f>IF(AN1950=12,L1950,0)</f>
        <v>0</v>
      </c>
      <c r="AL1950" s="93">
        <f>IF(AN1950=21,L1950,0)</f>
        <v>0</v>
      </c>
      <c r="AN1950" s="93">
        <v>21</v>
      </c>
      <c r="AO1950" s="93">
        <f>H1950*0.494515824</f>
        <v>0</v>
      </c>
      <c r="AP1950" s="93">
        <f>H1950*(1-0.494515824)</f>
        <v>0</v>
      </c>
      <c r="AQ1950" s="94" t="s">
        <v>148</v>
      </c>
      <c r="AV1950" s="93">
        <f>AW1950+AX1950</f>
        <v>0</v>
      </c>
      <c r="AW1950" s="93">
        <f>G1950*AO1950</f>
        <v>0</v>
      </c>
      <c r="AX1950" s="93">
        <f>G1950*AP1950</f>
        <v>0</v>
      </c>
      <c r="AY1950" s="94" t="s">
        <v>2510</v>
      </c>
      <c r="AZ1950" s="94" t="s">
        <v>2247</v>
      </c>
      <c r="BA1950" s="88" t="s">
        <v>67</v>
      </c>
      <c r="BC1950" s="93">
        <f>AW1950+AX1950</f>
        <v>0</v>
      </c>
      <c r="BD1950" s="93">
        <f>H1950/(100-BE1950)*100</f>
        <v>0</v>
      </c>
      <c r="BE1950" s="93">
        <v>0</v>
      </c>
      <c r="BF1950" s="93">
        <f>O1950</f>
        <v>6.9461999999999996E-2</v>
      </c>
      <c r="BH1950" s="93">
        <f>G1950*AO1950</f>
        <v>0</v>
      </c>
      <c r="BI1950" s="93">
        <f>G1950*AP1950</f>
        <v>0</v>
      </c>
      <c r="BJ1950" s="93">
        <f>G1950*H1950</f>
        <v>0</v>
      </c>
      <c r="BK1950" s="93"/>
      <c r="BL1950" s="93">
        <v>767</v>
      </c>
      <c r="BW1950" s="93" t="str">
        <f>I1950</f>
        <v>21</v>
      </c>
      <c r="BX1950" s="2" t="s">
        <v>2639</v>
      </c>
    </row>
    <row r="1951" spans="1:76" s="81" customFormat="1" x14ac:dyDescent="0.25">
      <c r="A1951" s="110"/>
      <c r="B1951" s="95"/>
      <c r="C1951" s="95"/>
      <c r="D1951" s="76" t="s">
        <v>2640</v>
      </c>
      <c r="E1951" s="76" t="s">
        <v>1014</v>
      </c>
      <c r="F1951" s="95"/>
      <c r="G1951" s="96">
        <v>136.19999999999999</v>
      </c>
      <c r="H1951" s="95"/>
      <c r="I1951" s="95"/>
      <c r="J1951" s="95"/>
      <c r="K1951" s="95"/>
      <c r="L1951" s="95"/>
      <c r="M1951" s="95"/>
      <c r="N1951" s="95"/>
      <c r="O1951" s="95"/>
      <c r="P1951" s="95"/>
    </row>
    <row r="1952" spans="1:76" s="81" customFormat="1" ht="25.5" x14ac:dyDescent="0.25">
      <c r="A1952" s="66" t="s">
        <v>2648</v>
      </c>
      <c r="B1952" s="72" t="s">
        <v>55</v>
      </c>
      <c r="C1952" s="72" t="s">
        <v>2638</v>
      </c>
      <c r="D1952" s="174" t="s">
        <v>2642</v>
      </c>
      <c r="E1952" s="174"/>
      <c r="F1952" s="72" t="s">
        <v>192</v>
      </c>
      <c r="G1952" s="90">
        <v>57.8</v>
      </c>
      <c r="H1952" s="91"/>
      <c r="I1952" s="92" t="s">
        <v>63</v>
      </c>
      <c r="J1952" s="90">
        <f>G1952*AO1952</f>
        <v>0</v>
      </c>
      <c r="K1952" s="90">
        <f>G1952*AP1952</f>
        <v>0</v>
      </c>
      <c r="L1952" s="90">
        <f>G1952*H1952</f>
        <v>0</v>
      </c>
      <c r="M1952" s="90">
        <f>L1952*(1+BW1952/100)</f>
        <v>0</v>
      </c>
      <c r="N1952" s="90">
        <v>5.1000000000000004E-4</v>
      </c>
      <c r="O1952" s="90">
        <f>G1952*N1952</f>
        <v>2.9478000000000001E-2</v>
      </c>
      <c r="P1952" s="92" t="s">
        <v>371</v>
      </c>
      <c r="Z1952" s="93">
        <f>IF(AQ1952="5",BJ1952,0)</f>
        <v>0</v>
      </c>
      <c r="AB1952" s="93">
        <f>IF(AQ1952="1",BH1952,0)</f>
        <v>0</v>
      </c>
      <c r="AC1952" s="93">
        <f>IF(AQ1952="1",BI1952,0)</f>
        <v>0</v>
      </c>
      <c r="AD1952" s="93">
        <f>IF(AQ1952="7",BH1952,0)</f>
        <v>0</v>
      </c>
      <c r="AE1952" s="93">
        <f>IF(AQ1952="7",BI1952,0)</f>
        <v>0</v>
      </c>
      <c r="AF1952" s="93">
        <f>IF(AQ1952="2",BH1952,0)</f>
        <v>0</v>
      </c>
      <c r="AG1952" s="93">
        <f>IF(AQ1952="2",BI1952,0)</f>
        <v>0</v>
      </c>
      <c r="AH1952" s="93">
        <f>IF(AQ1952="0",BJ1952,0)</f>
        <v>0</v>
      </c>
      <c r="AI1952" s="88" t="s">
        <v>55</v>
      </c>
      <c r="AJ1952" s="93">
        <f>IF(AN1952=0,L1952,0)</f>
        <v>0</v>
      </c>
      <c r="AK1952" s="93">
        <f>IF(AN1952=12,L1952,0)</f>
        <v>0</v>
      </c>
      <c r="AL1952" s="93">
        <f>IF(AN1952=21,L1952,0)</f>
        <v>0</v>
      </c>
      <c r="AN1952" s="93">
        <v>21</v>
      </c>
      <c r="AO1952" s="93">
        <f>H1952*0.494516401</f>
        <v>0</v>
      </c>
      <c r="AP1952" s="93">
        <f>H1952*(1-0.494516401)</f>
        <v>0</v>
      </c>
      <c r="AQ1952" s="94" t="s">
        <v>148</v>
      </c>
      <c r="AV1952" s="93">
        <f>AW1952+AX1952</f>
        <v>0</v>
      </c>
      <c r="AW1952" s="93">
        <f>G1952*AO1952</f>
        <v>0</v>
      </c>
      <c r="AX1952" s="93">
        <f>G1952*AP1952</f>
        <v>0</v>
      </c>
      <c r="AY1952" s="94" t="s">
        <v>2510</v>
      </c>
      <c r="AZ1952" s="94" t="s">
        <v>2247</v>
      </c>
      <c r="BA1952" s="88" t="s">
        <v>67</v>
      </c>
      <c r="BC1952" s="93">
        <f>AW1952+AX1952</f>
        <v>0</v>
      </c>
      <c r="BD1952" s="93">
        <f>H1952/(100-BE1952)*100</f>
        <v>0</v>
      </c>
      <c r="BE1952" s="93">
        <v>0</v>
      </c>
      <c r="BF1952" s="93">
        <f>O1952</f>
        <v>2.9478000000000001E-2</v>
      </c>
      <c r="BH1952" s="93">
        <f>G1952*AO1952</f>
        <v>0</v>
      </c>
      <c r="BI1952" s="93">
        <f>G1952*AP1952</f>
        <v>0</v>
      </c>
      <c r="BJ1952" s="93">
        <f>G1952*H1952</f>
        <v>0</v>
      </c>
      <c r="BK1952" s="93"/>
      <c r="BL1952" s="93">
        <v>767</v>
      </c>
      <c r="BW1952" s="93" t="str">
        <f>I1952</f>
        <v>21</v>
      </c>
      <c r="BX1952" s="2" t="s">
        <v>2642</v>
      </c>
    </row>
    <row r="1953" spans="1:76" s="81" customFormat="1" x14ac:dyDescent="0.25">
      <c r="A1953" s="110"/>
      <c r="B1953" s="95"/>
      <c r="C1953" s="95"/>
      <c r="D1953" s="76" t="s">
        <v>2643</v>
      </c>
      <c r="E1953" s="76" t="s">
        <v>1014</v>
      </c>
      <c r="F1953" s="95"/>
      <c r="G1953" s="96">
        <v>57.8</v>
      </c>
      <c r="H1953" s="95"/>
      <c r="I1953" s="95"/>
      <c r="J1953" s="95"/>
      <c r="K1953" s="95"/>
      <c r="L1953" s="95"/>
      <c r="M1953" s="95"/>
      <c r="N1953" s="95"/>
      <c r="O1953" s="95"/>
      <c r="P1953" s="95"/>
    </row>
    <row r="1954" spans="1:76" s="81" customFormat="1" ht="25.5" x14ac:dyDescent="0.25">
      <c r="A1954" s="66" t="s">
        <v>2651</v>
      </c>
      <c r="B1954" s="72" t="s">
        <v>55</v>
      </c>
      <c r="C1954" s="72" t="s">
        <v>2645</v>
      </c>
      <c r="D1954" s="174" t="s">
        <v>2646</v>
      </c>
      <c r="E1954" s="174"/>
      <c r="F1954" s="72" t="s">
        <v>192</v>
      </c>
      <c r="G1954" s="90">
        <v>471.08</v>
      </c>
      <c r="H1954" s="91"/>
      <c r="I1954" s="92" t="s">
        <v>63</v>
      </c>
      <c r="J1954" s="90">
        <f>G1954*AO1954</f>
        <v>0</v>
      </c>
      <c r="K1954" s="90">
        <f>G1954*AP1954</f>
        <v>0</v>
      </c>
      <c r="L1954" s="90">
        <f>G1954*H1954</f>
        <v>0</v>
      </c>
      <c r="M1954" s="90">
        <f>L1954*(1+BW1954/100)</f>
        <v>0</v>
      </c>
      <c r="N1954" s="90">
        <v>5.1000000000000004E-4</v>
      </c>
      <c r="O1954" s="90">
        <f>G1954*N1954</f>
        <v>0.24025080000000001</v>
      </c>
      <c r="P1954" s="92" t="s">
        <v>64</v>
      </c>
      <c r="Z1954" s="93">
        <f>IF(AQ1954="5",BJ1954,0)</f>
        <v>0</v>
      </c>
      <c r="AB1954" s="93">
        <f>IF(AQ1954="1",BH1954,0)</f>
        <v>0</v>
      </c>
      <c r="AC1954" s="93">
        <f>IF(AQ1954="1",BI1954,0)</f>
        <v>0</v>
      </c>
      <c r="AD1954" s="93">
        <f>IF(AQ1954="7",BH1954,0)</f>
        <v>0</v>
      </c>
      <c r="AE1954" s="93">
        <f>IF(AQ1954="7",BI1954,0)</f>
        <v>0</v>
      </c>
      <c r="AF1954" s="93">
        <f>IF(AQ1954="2",BH1954,0)</f>
        <v>0</v>
      </c>
      <c r="AG1954" s="93">
        <f>IF(AQ1954="2",BI1954,0)</f>
        <v>0</v>
      </c>
      <c r="AH1954" s="93">
        <f>IF(AQ1954="0",BJ1954,0)</f>
        <v>0</v>
      </c>
      <c r="AI1954" s="88" t="s">
        <v>55</v>
      </c>
      <c r="AJ1954" s="93">
        <f>IF(AN1954=0,L1954,0)</f>
        <v>0</v>
      </c>
      <c r="AK1954" s="93">
        <f>IF(AN1954=12,L1954,0)</f>
        <v>0</v>
      </c>
      <c r="AL1954" s="93">
        <f>IF(AN1954=21,L1954,0)</f>
        <v>0</v>
      </c>
      <c r="AN1954" s="93">
        <v>21</v>
      </c>
      <c r="AO1954" s="93">
        <f>H1954*0.024637405</f>
        <v>0</v>
      </c>
      <c r="AP1954" s="93">
        <f>H1954*(1-0.024637405)</f>
        <v>0</v>
      </c>
      <c r="AQ1954" s="94" t="s">
        <v>148</v>
      </c>
      <c r="AV1954" s="93">
        <f>AW1954+AX1954</f>
        <v>0</v>
      </c>
      <c r="AW1954" s="93">
        <f>G1954*AO1954</f>
        <v>0</v>
      </c>
      <c r="AX1954" s="93">
        <f>G1954*AP1954</f>
        <v>0</v>
      </c>
      <c r="AY1954" s="94" t="s">
        <v>2510</v>
      </c>
      <c r="AZ1954" s="94" t="s">
        <v>2247</v>
      </c>
      <c r="BA1954" s="88" t="s">
        <v>67</v>
      </c>
      <c r="BC1954" s="93">
        <f>AW1954+AX1954</f>
        <v>0</v>
      </c>
      <c r="BD1954" s="93">
        <f>H1954/(100-BE1954)*100</f>
        <v>0</v>
      </c>
      <c r="BE1954" s="93">
        <v>0</v>
      </c>
      <c r="BF1954" s="93">
        <f>O1954</f>
        <v>0.24025080000000001</v>
      </c>
      <c r="BH1954" s="93">
        <f>G1954*AO1954</f>
        <v>0</v>
      </c>
      <c r="BI1954" s="93">
        <f>G1954*AP1954</f>
        <v>0</v>
      </c>
      <c r="BJ1954" s="93">
        <f>G1954*H1954</f>
        <v>0</v>
      </c>
      <c r="BK1954" s="93"/>
      <c r="BL1954" s="93">
        <v>767</v>
      </c>
      <c r="BW1954" s="93" t="str">
        <f>I1954</f>
        <v>21</v>
      </c>
      <c r="BX1954" s="2" t="s">
        <v>2646</v>
      </c>
    </row>
    <row r="1955" spans="1:76" s="81" customFormat="1" x14ac:dyDescent="0.25">
      <c r="A1955" s="110"/>
      <c r="B1955" s="95"/>
      <c r="C1955" s="95"/>
      <c r="D1955" s="76" t="s">
        <v>2647</v>
      </c>
      <c r="E1955" s="76" t="s">
        <v>1014</v>
      </c>
      <c r="F1955" s="95"/>
      <c r="G1955" s="96">
        <v>471.08</v>
      </c>
      <c r="H1955" s="95"/>
      <c r="I1955" s="95"/>
      <c r="J1955" s="95"/>
      <c r="K1955" s="95"/>
      <c r="L1955" s="95"/>
      <c r="M1955" s="95"/>
      <c r="N1955" s="95"/>
      <c r="O1955" s="95"/>
      <c r="P1955" s="95"/>
    </row>
    <row r="1956" spans="1:76" s="81" customFormat="1" ht="25.5" x14ac:dyDescent="0.25">
      <c r="A1956" s="66" t="s">
        <v>2660</v>
      </c>
      <c r="B1956" s="72" t="s">
        <v>55</v>
      </c>
      <c r="C1956" s="72" t="s">
        <v>2649</v>
      </c>
      <c r="D1956" s="174" t="s">
        <v>2650</v>
      </c>
      <c r="E1956" s="174"/>
      <c r="F1956" s="72" t="s">
        <v>192</v>
      </c>
      <c r="G1956" s="90">
        <v>471.08</v>
      </c>
      <c r="H1956" s="91"/>
      <c r="I1956" s="92" t="s">
        <v>63</v>
      </c>
      <c r="J1956" s="90">
        <f>G1956*AO1956</f>
        <v>0</v>
      </c>
      <c r="K1956" s="90">
        <f>G1956*AP1956</f>
        <v>0</v>
      </c>
      <c r="L1956" s="90">
        <f>G1956*H1956</f>
        <v>0</v>
      </c>
      <c r="M1956" s="90">
        <f>L1956*(1+BW1956/100)</f>
        <v>0</v>
      </c>
      <c r="N1956" s="90">
        <v>29.018429999999999</v>
      </c>
      <c r="O1956" s="90">
        <f>G1956*N1956</f>
        <v>13670.002004399999</v>
      </c>
      <c r="P1956" s="92" t="s">
        <v>287</v>
      </c>
      <c r="Z1956" s="93">
        <f>IF(AQ1956="5",BJ1956,0)</f>
        <v>0</v>
      </c>
      <c r="AB1956" s="93">
        <f>IF(AQ1956="1",BH1956,0)</f>
        <v>0</v>
      </c>
      <c r="AC1956" s="93">
        <f>IF(AQ1956="1",BI1956,0)</f>
        <v>0</v>
      </c>
      <c r="AD1956" s="93">
        <f>IF(AQ1956="7",BH1956,0)</f>
        <v>0</v>
      </c>
      <c r="AE1956" s="93">
        <f>IF(AQ1956="7",BI1956,0)</f>
        <v>0</v>
      </c>
      <c r="AF1956" s="93">
        <f>IF(AQ1956="2",BH1956,0)</f>
        <v>0</v>
      </c>
      <c r="AG1956" s="93">
        <f>IF(AQ1956="2",BI1956,0)</f>
        <v>0</v>
      </c>
      <c r="AH1956" s="93">
        <f>IF(AQ1956="0",BJ1956,0)</f>
        <v>0</v>
      </c>
      <c r="AI1956" s="88" t="s">
        <v>55</v>
      </c>
      <c r="AJ1956" s="93">
        <f>IF(AN1956=0,L1956,0)</f>
        <v>0</v>
      </c>
      <c r="AK1956" s="93">
        <f>IF(AN1956=12,L1956,0)</f>
        <v>0</v>
      </c>
      <c r="AL1956" s="93">
        <f>IF(AN1956=21,L1956,0)</f>
        <v>0</v>
      </c>
      <c r="AN1956" s="93">
        <v>21</v>
      </c>
      <c r="AO1956" s="93">
        <f>H1956*1</f>
        <v>0</v>
      </c>
      <c r="AP1956" s="93">
        <f>H1956*(1-1)</f>
        <v>0</v>
      </c>
      <c r="AQ1956" s="94" t="s">
        <v>148</v>
      </c>
      <c r="AV1956" s="93">
        <f>AW1956+AX1956</f>
        <v>0</v>
      </c>
      <c r="AW1956" s="93">
        <f>G1956*AO1956</f>
        <v>0</v>
      </c>
      <c r="AX1956" s="93">
        <f>G1956*AP1956</f>
        <v>0</v>
      </c>
      <c r="AY1956" s="94" t="s">
        <v>2510</v>
      </c>
      <c r="AZ1956" s="94" t="s">
        <v>2247</v>
      </c>
      <c r="BA1956" s="88" t="s">
        <v>67</v>
      </c>
      <c r="BC1956" s="93">
        <f>AW1956+AX1956</f>
        <v>0</v>
      </c>
      <c r="BD1956" s="93">
        <f>H1956/(100-BE1956)*100</f>
        <v>0</v>
      </c>
      <c r="BE1956" s="93">
        <v>0</v>
      </c>
      <c r="BF1956" s="93">
        <f>O1956</f>
        <v>13670.002004399999</v>
      </c>
      <c r="BH1956" s="93">
        <f>G1956*AO1956</f>
        <v>0</v>
      </c>
      <c r="BI1956" s="93">
        <f>G1956*AP1956</f>
        <v>0</v>
      </c>
      <c r="BJ1956" s="93">
        <f>G1956*H1956</f>
        <v>0</v>
      </c>
      <c r="BK1956" s="93"/>
      <c r="BL1956" s="93">
        <v>767</v>
      </c>
      <c r="BW1956" s="93" t="str">
        <f>I1956</f>
        <v>21</v>
      </c>
      <c r="BX1956" s="2" t="s">
        <v>2650</v>
      </c>
    </row>
    <row r="1957" spans="1:76" s="81" customFormat="1" ht="25.5" x14ac:dyDescent="0.25">
      <c r="A1957" s="66" t="s">
        <v>2664</v>
      </c>
      <c r="B1957" s="72" t="s">
        <v>55</v>
      </c>
      <c r="C1957" s="72" t="s">
        <v>2652</v>
      </c>
      <c r="D1957" s="174" t="s">
        <v>2653</v>
      </c>
      <c r="E1957" s="174"/>
      <c r="F1957" s="72" t="s">
        <v>192</v>
      </c>
      <c r="G1957" s="90">
        <v>717.32</v>
      </c>
      <c r="H1957" s="91"/>
      <c r="I1957" s="92" t="s">
        <v>63</v>
      </c>
      <c r="J1957" s="90">
        <f>G1957*AO1957</f>
        <v>0</v>
      </c>
      <c r="K1957" s="90">
        <f>G1957*AP1957</f>
        <v>0</v>
      </c>
      <c r="L1957" s="90">
        <f>G1957*H1957</f>
        <v>0</v>
      </c>
      <c r="M1957" s="90">
        <f>L1957*(1+BW1957/100)</f>
        <v>0</v>
      </c>
      <c r="N1957" s="90">
        <v>6.9999999999999999E-4</v>
      </c>
      <c r="O1957" s="90">
        <f>G1957*N1957</f>
        <v>0.50212400000000001</v>
      </c>
      <c r="P1957" s="92" t="s">
        <v>64</v>
      </c>
      <c r="Z1957" s="93">
        <f>IF(AQ1957="5",BJ1957,0)</f>
        <v>0</v>
      </c>
      <c r="AB1957" s="93">
        <f>IF(AQ1957="1",BH1957,0)</f>
        <v>0</v>
      </c>
      <c r="AC1957" s="93">
        <f>IF(AQ1957="1",BI1957,0)</f>
        <v>0</v>
      </c>
      <c r="AD1957" s="93">
        <f>IF(AQ1957="7",BH1957,0)</f>
        <v>0</v>
      </c>
      <c r="AE1957" s="93">
        <f>IF(AQ1957="7",BI1957,0)</f>
        <v>0</v>
      </c>
      <c r="AF1957" s="93">
        <f>IF(AQ1957="2",BH1957,0)</f>
        <v>0</v>
      </c>
      <c r="AG1957" s="93">
        <f>IF(AQ1957="2",BI1957,0)</f>
        <v>0</v>
      </c>
      <c r="AH1957" s="93">
        <f>IF(AQ1957="0",BJ1957,0)</f>
        <v>0</v>
      </c>
      <c r="AI1957" s="88" t="s">
        <v>55</v>
      </c>
      <c r="AJ1957" s="93">
        <f>IF(AN1957=0,L1957,0)</f>
        <v>0</v>
      </c>
      <c r="AK1957" s="93">
        <f>IF(AN1957=12,L1957,0)</f>
        <v>0</v>
      </c>
      <c r="AL1957" s="93">
        <f>IF(AN1957=21,L1957,0)</f>
        <v>0</v>
      </c>
      <c r="AN1957" s="93">
        <v>21</v>
      </c>
      <c r="AO1957" s="93">
        <f>H1957*0.056504583</f>
        <v>0</v>
      </c>
      <c r="AP1957" s="93">
        <f>H1957*(1-0.056504583)</f>
        <v>0</v>
      </c>
      <c r="AQ1957" s="94" t="s">
        <v>148</v>
      </c>
      <c r="AV1957" s="93">
        <f>AW1957+AX1957</f>
        <v>0</v>
      </c>
      <c r="AW1957" s="93">
        <f>G1957*AO1957</f>
        <v>0</v>
      </c>
      <c r="AX1957" s="93">
        <f>G1957*AP1957</f>
        <v>0</v>
      </c>
      <c r="AY1957" s="94" t="s">
        <v>2510</v>
      </c>
      <c r="AZ1957" s="94" t="s">
        <v>2247</v>
      </c>
      <c r="BA1957" s="88" t="s">
        <v>67</v>
      </c>
      <c r="BC1957" s="93">
        <f>AW1957+AX1957</f>
        <v>0</v>
      </c>
      <c r="BD1957" s="93">
        <f>H1957/(100-BE1957)*100</f>
        <v>0</v>
      </c>
      <c r="BE1957" s="93">
        <v>0</v>
      </c>
      <c r="BF1957" s="93">
        <f>O1957</f>
        <v>0.50212400000000001</v>
      </c>
      <c r="BH1957" s="93">
        <f>G1957*AO1957</f>
        <v>0</v>
      </c>
      <c r="BI1957" s="93">
        <f>G1957*AP1957</f>
        <v>0</v>
      </c>
      <c r="BJ1957" s="93">
        <f>G1957*H1957</f>
        <v>0</v>
      </c>
      <c r="BK1957" s="93"/>
      <c r="BL1957" s="93">
        <v>767</v>
      </c>
      <c r="BW1957" s="93" t="str">
        <f>I1957</f>
        <v>21</v>
      </c>
      <c r="BX1957" s="2" t="s">
        <v>2653</v>
      </c>
    </row>
    <row r="1958" spans="1:76" s="81" customFormat="1" x14ac:dyDescent="0.25">
      <c r="A1958" s="110"/>
      <c r="B1958" s="95"/>
      <c r="C1958" s="95"/>
      <c r="D1958" s="76" t="s">
        <v>54</v>
      </c>
      <c r="E1958" s="76" t="s">
        <v>1306</v>
      </c>
      <c r="F1958" s="95"/>
      <c r="G1958" s="96">
        <v>0</v>
      </c>
      <c r="H1958" s="95"/>
      <c r="I1958" s="95"/>
      <c r="J1958" s="95"/>
      <c r="K1958" s="95"/>
      <c r="L1958" s="95"/>
      <c r="M1958" s="95"/>
      <c r="N1958" s="95"/>
      <c r="O1958" s="95"/>
      <c r="P1958" s="95"/>
    </row>
    <row r="1959" spans="1:76" s="81" customFormat="1" x14ac:dyDescent="0.25">
      <c r="A1959" s="110"/>
      <c r="B1959" s="95"/>
      <c r="C1959" s="95"/>
      <c r="D1959" s="76" t="s">
        <v>2654</v>
      </c>
      <c r="E1959" s="76" t="s">
        <v>2655</v>
      </c>
      <c r="F1959" s="95"/>
      <c r="G1959" s="96">
        <v>158.62</v>
      </c>
      <c r="H1959" s="95"/>
      <c r="I1959" s="95"/>
      <c r="J1959" s="95"/>
      <c r="K1959" s="95"/>
      <c r="L1959" s="95"/>
      <c r="M1959" s="95"/>
      <c r="N1959" s="95"/>
      <c r="O1959" s="95"/>
      <c r="P1959" s="95"/>
    </row>
    <row r="1960" spans="1:76" s="81" customFormat="1" x14ac:dyDescent="0.25">
      <c r="A1960" s="110"/>
      <c r="B1960" s="95"/>
      <c r="C1960" s="95"/>
      <c r="D1960" s="76" t="s">
        <v>2656</v>
      </c>
      <c r="E1960" s="76" t="s">
        <v>2657</v>
      </c>
      <c r="F1960" s="95"/>
      <c r="G1960" s="96">
        <v>331.3</v>
      </c>
      <c r="H1960" s="95"/>
      <c r="I1960" s="95"/>
      <c r="J1960" s="95"/>
      <c r="K1960" s="95"/>
      <c r="L1960" s="95"/>
      <c r="M1960" s="95"/>
      <c r="N1960" s="95"/>
      <c r="O1960" s="95"/>
      <c r="P1960" s="95"/>
    </row>
    <row r="1961" spans="1:76" s="81" customFormat="1" x14ac:dyDescent="0.25">
      <c r="A1961" s="110"/>
      <c r="B1961" s="95"/>
      <c r="C1961" s="95"/>
      <c r="D1961" s="76" t="s">
        <v>2658</v>
      </c>
      <c r="E1961" s="76" t="s">
        <v>2659</v>
      </c>
      <c r="F1961" s="95"/>
      <c r="G1961" s="96">
        <v>227.4</v>
      </c>
      <c r="H1961" s="95"/>
      <c r="I1961" s="95"/>
      <c r="J1961" s="95"/>
      <c r="K1961" s="95"/>
      <c r="L1961" s="95"/>
      <c r="M1961" s="95"/>
      <c r="N1961" s="95"/>
      <c r="O1961" s="95"/>
      <c r="P1961" s="95"/>
    </row>
    <row r="1962" spans="1:76" s="81" customFormat="1" ht="25.5" x14ac:dyDescent="0.25">
      <c r="A1962" s="66" t="s">
        <v>2666</v>
      </c>
      <c r="B1962" s="72" t="s">
        <v>55</v>
      </c>
      <c r="C1962" s="72" t="s">
        <v>2661</v>
      </c>
      <c r="D1962" s="174" t="s">
        <v>2662</v>
      </c>
      <c r="E1962" s="174"/>
      <c r="F1962" s="72" t="s">
        <v>192</v>
      </c>
      <c r="G1962" s="90">
        <v>209.62</v>
      </c>
      <c r="H1962" s="91"/>
      <c r="I1962" s="92" t="s">
        <v>63</v>
      </c>
      <c r="J1962" s="90">
        <f>G1962*AO1962</f>
        <v>0</v>
      </c>
      <c r="K1962" s="90">
        <f>G1962*AP1962</f>
        <v>0</v>
      </c>
      <c r="L1962" s="90">
        <f>G1962*H1962</f>
        <v>0</v>
      </c>
      <c r="M1962" s="90">
        <f>L1962*(1+BW1962/100)</f>
        <v>0</v>
      </c>
      <c r="N1962" s="90">
        <v>0</v>
      </c>
      <c r="O1962" s="90">
        <f>G1962*N1962</f>
        <v>0</v>
      </c>
      <c r="P1962" s="92" t="s">
        <v>287</v>
      </c>
      <c r="Z1962" s="93">
        <f>IF(AQ1962="5",BJ1962,0)</f>
        <v>0</v>
      </c>
      <c r="AB1962" s="93">
        <f>IF(AQ1962="1",BH1962,0)</f>
        <v>0</v>
      </c>
      <c r="AC1962" s="93">
        <f>IF(AQ1962="1",BI1962,0)</f>
        <v>0</v>
      </c>
      <c r="AD1962" s="93">
        <f>IF(AQ1962="7",BH1962,0)</f>
        <v>0</v>
      </c>
      <c r="AE1962" s="93">
        <f>IF(AQ1962="7",BI1962,0)</f>
        <v>0</v>
      </c>
      <c r="AF1962" s="93">
        <f>IF(AQ1962="2",BH1962,0)</f>
        <v>0</v>
      </c>
      <c r="AG1962" s="93">
        <f>IF(AQ1962="2",BI1962,0)</f>
        <v>0</v>
      </c>
      <c r="AH1962" s="93">
        <f>IF(AQ1962="0",BJ1962,0)</f>
        <v>0</v>
      </c>
      <c r="AI1962" s="88" t="s">
        <v>55</v>
      </c>
      <c r="AJ1962" s="93">
        <f>IF(AN1962=0,L1962,0)</f>
        <v>0</v>
      </c>
      <c r="AK1962" s="93">
        <f>IF(AN1962=12,L1962,0)</f>
        <v>0</v>
      </c>
      <c r="AL1962" s="93">
        <f>IF(AN1962=21,L1962,0)</f>
        <v>0</v>
      </c>
      <c r="AN1962" s="93">
        <v>21</v>
      </c>
      <c r="AO1962" s="93">
        <f>H1962*1</f>
        <v>0</v>
      </c>
      <c r="AP1962" s="93">
        <f>H1962*(1-1)</f>
        <v>0</v>
      </c>
      <c r="AQ1962" s="94" t="s">
        <v>148</v>
      </c>
      <c r="AV1962" s="93">
        <f>AW1962+AX1962</f>
        <v>0</v>
      </c>
      <c r="AW1962" s="93">
        <f>G1962*AO1962</f>
        <v>0</v>
      </c>
      <c r="AX1962" s="93">
        <f>G1962*AP1962</f>
        <v>0</v>
      </c>
      <c r="AY1962" s="94" t="s">
        <v>2510</v>
      </c>
      <c r="AZ1962" s="94" t="s">
        <v>2247</v>
      </c>
      <c r="BA1962" s="88" t="s">
        <v>67</v>
      </c>
      <c r="BC1962" s="93">
        <f>AW1962+AX1962</f>
        <v>0</v>
      </c>
      <c r="BD1962" s="93">
        <f>H1962/(100-BE1962)*100</f>
        <v>0</v>
      </c>
      <c r="BE1962" s="93">
        <v>0</v>
      </c>
      <c r="BF1962" s="93">
        <f>O1962</f>
        <v>0</v>
      </c>
      <c r="BH1962" s="93">
        <f>G1962*AO1962</f>
        <v>0</v>
      </c>
      <c r="BI1962" s="93">
        <f>G1962*AP1962</f>
        <v>0</v>
      </c>
      <c r="BJ1962" s="93">
        <f>G1962*H1962</f>
        <v>0</v>
      </c>
      <c r="BK1962" s="93"/>
      <c r="BL1962" s="93">
        <v>767</v>
      </c>
      <c r="BW1962" s="93" t="str">
        <f>I1962</f>
        <v>21</v>
      </c>
      <c r="BX1962" s="2" t="s">
        <v>2662</v>
      </c>
    </row>
    <row r="1963" spans="1:76" s="81" customFormat="1" x14ac:dyDescent="0.25">
      <c r="A1963" s="110"/>
      <c r="B1963" s="95"/>
      <c r="C1963" s="95"/>
      <c r="D1963" s="76" t="s">
        <v>54</v>
      </c>
      <c r="E1963" s="76" t="s">
        <v>2663</v>
      </c>
      <c r="F1963" s="95"/>
      <c r="G1963" s="96">
        <v>0</v>
      </c>
      <c r="H1963" s="95"/>
      <c r="I1963" s="95"/>
      <c r="J1963" s="95"/>
      <c r="K1963" s="95"/>
      <c r="L1963" s="95"/>
      <c r="M1963" s="95"/>
      <c r="N1963" s="95"/>
      <c r="O1963" s="95"/>
      <c r="P1963" s="95"/>
    </row>
    <row r="1964" spans="1:76" s="81" customFormat="1" x14ac:dyDescent="0.25">
      <c r="A1964" s="110"/>
      <c r="B1964" s="95"/>
      <c r="C1964" s="95"/>
      <c r="D1964" s="76" t="s">
        <v>2654</v>
      </c>
      <c r="E1964" s="76" t="s">
        <v>2655</v>
      </c>
      <c r="F1964" s="95"/>
      <c r="G1964" s="96">
        <v>158.62</v>
      </c>
      <c r="H1964" s="95"/>
      <c r="I1964" s="95"/>
      <c r="J1964" s="95"/>
      <c r="K1964" s="95"/>
      <c r="L1964" s="95"/>
      <c r="M1964" s="95"/>
      <c r="N1964" s="95"/>
      <c r="O1964" s="95"/>
      <c r="P1964" s="95"/>
    </row>
    <row r="1965" spans="1:76" s="81" customFormat="1" x14ac:dyDescent="0.25">
      <c r="A1965" s="110"/>
      <c r="B1965" s="95"/>
      <c r="C1965" s="95"/>
      <c r="D1965" s="76" t="s">
        <v>444</v>
      </c>
      <c r="E1965" s="76" t="s">
        <v>2659</v>
      </c>
      <c r="F1965" s="95"/>
      <c r="G1965" s="96">
        <v>51</v>
      </c>
      <c r="H1965" s="95"/>
      <c r="I1965" s="95"/>
      <c r="J1965" s="95"/>
      <c r="K1965" s="95"/>
      <c r="L1965" s="95"/>
      <c r="M1965" s="95"/>
      <c r="N1965" s="95"/>
      <c r="O1965" s="95"/>
      <c r="P1965" s="95"/>
    </row>
    <row r="1966" spans="1:76" s="81" customFormat="1" ht="25.5" x14ac:dyDescent="0.25">
      <c r="A1966" s="66" t="s">
        <v>2672</v>
      </c>
      <c r="B1966" s="72" t="s">
        <v>55</v>
      </c>
      <c r="C1966" s="72" t="s">
        <v>2661</v>
      </c>
      <c r="D1966" s="174" t="s">
        <v>2665</v>
      </c>
      <c r="E1966" s="174"/>
      <c r="F1966" s="72" t="s">
        <v>192</v>
      </c>
      <c r="G1966" s="90">
        <v>200</v>
      </c>
      <c r="H1966" s="91"/>
      <c r="I1966" s="92" t="s">
        <v>63</v>
      </c>
      <c r="J1966" s="90">
        <f>G1966*AO1966</f>
        <v>0</v>
      </c>
      <c r="K1966" s="90">
        <f>G1966*AP1966</f>
        <v>0</v>
      </c>
      <c r="L1966" s="90">
        <f>G1966*H1966</f>
        <v>0</v>
      </c>
      <c r="M1966" s="90">
        <f>L1966*(1+BW1966/100)</f>
        <v>0</v>
      </c>
      <c r="N1966" s="90">
        <v>0</v>
      </c>
      <c r="O1966" s="90">
        <f>G1966*N1966</f>
        <v>0</v>
      </c>
      <c r="P1966" s="92" t="s">
        <v>287</v>
      </c>
      <c r="Z1966" s="93">
        <f>IF(AQ1966="5",BJ1966,0)</f>
        <v>0</v>
      </c>
      <c r="AB1966" s="93">
        <f>IF(AQ1966="1",BH1966,0)</f>
        <v>0</v>
      </c>
      <c r="AC1966" s="93">
        <f>IF(AQ1966="1",BI1966,0)</f>
        <v>0</v>
      </c>
      <c r="AD1966" s="93">
        <f>IF(AQ1966="7",BH1966,0)</f>
        <v>0</v>
      </c>
      <c r="AE1966" s="93">
        <f>IF(AQ1966="7",BI1966,0)</f>
        <v>0</v>
      </c>
      <c r="AF1966" s="93">
        <f>IF(AQ1966="2",BH1966,0)</f>
        <v>0</v>
      </c>
      <c r="AG1966" s="93">
        <f>IF(AQ1966="2",BI1966,0)</f>
        <v>0</v>
      </c>
      <c r="AH1966" s="93">
        <f>IF(AQ1966="0",BJ1966,0)</f>
        <v>0</v>
      </c>
      <c r="AI1966" s="88" t="s">
        <v>55</v>
      </c>
      <c r="AJ1966" s="93">
        <f>IF(AN1966=0,L1966,0)</f>
        <v>0</v>
      </c>
      <c r="AK1966" s="93">
        <f>IF(AN1966=12,L1966,0)</f>
        <v>0</v>
      </c>
      <c r="AL1966" s="93">
        <f>IF(AN1966=21,L1966,0)</f>
        <v>0</v>
      </c>
      <c r="AN1966" s="93">
        <v>21</v>
      </c>
      <c r="AO1966" s="93">
        <f>H1966*1</f>
        <v>0</v>
      </c>
      <c r="AP1966" s="93">
        <f>H1966*(1-1)</f>
        <v>0</v>
      </c>
      <c r="AQ1966" s="94" t="s">
        <v>148</v>
      </c>
      <c r="AV1966" s="93">
        <f>AW1966+AX1966</f>
        <v>0</v>
      </c>
      <c r="AW1966" s="93">
        <f>G1966*AO1966</f>
        <v>0</v>
      </c>
      <c r="AX1966" s="93">
        <f>G1966*AP1966</f>
        <v>0</v>
      </c>
      <c r="AY1966" s="94" t="s">
        <v>2510</v>
      </c>
      <c r="AZ1966" s="94" t="s">
        <v>2247</v>
      </c>
      <c r="BA1966" s="88" t="s">
        <v>67</v>
      </c>
      <c r="BC1966" s="93">
        <f>AW1966+AX1966</f>
        <v>0</v>
      </c>
      <c r="BD1966" s="93">
        <f>H1966/(100-BE1966)*100</f>
        <v>0</v>
      </c>
      <c r="BE1966" s="93">
        <v>0</v>
      </c>
      <c r="BF1966" s="93">
        <f>O1966</f>
        <v>0</v>
      </c>
      <c r="BH1966" s="93">
        <f>G1966*AO1966</f>
        <v>0</v>
      </c>
      <c r="BI1966" s="93">
        <f>G1966*AP1966</f>
        <v>0</v>
      </c>
      <c r="BJ1966" s="93">
        <f>G1966*H1966</f>
        <v>0</v>
      </c>
      <c r="BK1966" s="93"/>
      <c r="BL1966" s="93">
        <v>767</v>
      </c>
      <c r="BW1966" s="93" t="str">
        <f>I1966</f>
        <v>21</v>
      </c>
      <c r="BX1966" s="2" t="s">
        <v>2665</v>
      </c>
    </row>
    <row r="1967" spans="1:76" s="81" customFormat="1" x14ac:dyDescent="0.25">
      <c r="A1967" s="110"/>
      <c r="B1967" s="95"/>
      <c r="C1967" s="95"/>
      <c r="D1967" s="76" t="s">
        <v>54</v>
      </c>
      <c r="E1967" s="76" t="s">
        <v>2663</v>
      </c>
      <c r="F1967" s="95"/>
      <c r="G1967" s="96">
        <v>0</v>
      </c>
      <c r="H1967" s="95"/>
      <c r="I1967" s="95"/>
      <c r="J1967" s="95"/>
      <c r="K1967" s="95"/>
      <c r="L1967" s="95"/>
      <c r="M1967" s="95"/>
      <c r="N1967" s="95"/>
      <c r="O1967" s="95"/>
      <c r="P1967" s="95"/>
    </row>
    <row r="1968" spans="1:76" s="81" customFormat="1" x14ac:dyDescent="0.25">
      <c r="A1968" s="110"/>
      <c r="B1968" s="95"/>
      <c r="C1968" s="95"/>
      <c r="D1968" s="76" t="s">
        <v>1528</v>
      </c>
      <c r="E1968" s="76" t="s">
        <v>2657</v>
      </c>
      <c r="F1968" s="95"/>
      <c r="G1968" s="96">
        <v>200</v>
      </c>
      <c r="H1968" s="95"/>
      <c r="I1968" s="95"/>
      <c r="J1968" s="95"/>
      <c r="K1968" s="95"/>
      <c r="L1968" s="95"/>
      <c r="M1968" s="95"/>
      <c r="N1968" s="95"/>
      <c r="O1968" s="95"/>
      <c r="P1968" s="95"/>
    </row>
    <row r="1969" spans="1:76" s="81" customFormat="1" ht="25.5" x14ac:dyDescent="0.25">
      <c r="A1969" s="66" t="s">
        <v>2676</v>
      </c>
      <c r="B1969" s="72" t="s">
        <v>55</v>
      </c>
      <c r="C1969" s="72" t="s">
        <v>2667</v>
      </c>
      <c r="D1969" s="174" t="s">
        <v>2668</v>
      </c>
      <c r="E1969" s="174"/>
      <c r="F1969" s="72" t="s">
        <v>192</v>
      </c>
      <c r="G1969" s="90">
        <v>89.4</v>
      </c>
      <c r="H1969" s="91"/>
      <c r="I1969" s="92" t="s">
        <v>63</v>
      </c>
      <c r="J1969" s="90">
        <f>G1969*AO1969</f>
        <v>0</v>
      </c>
      <c r="K1969" s="90">
        <f>G1969*AP1969</f>
        <v>0</v>
      </c>
      <c r="L1969" s="90">
        <f>G1969*H1969</f>
        <v>0</v>
      </c>
      <c r="M1969" s="90">
        <f>L1969*(1+BW1969/100)</f>
        <v>0</v>
      </c>
      <c r="N1969" s="90">
        <v>0</v>
      </c>
      <c r="O1969" s="90">
        <f>G1969*N1969</f>
        <v>0</v>
      </c>
      <c r="P1969" s="92" t="s">
        <v>287</v>
      </c>
      <c r="Z1969" s="93">
        <f>IF(AQ1969="5",BJ1969,0)</f>
        <v>0</v>
      </c>
      <c r="AB1969" s="93">
        <f>IF(AQ1969="1",BH1969,0)</f>
        <v>0</v>
      </c>
      <c r="AC1969" s="93">
        <f>IF(AQ1969="1",BI1969,0)</f>
        <v>0</v>
      </c>
      <c r="AD1969" s="93">
        <f>IF(AQ1969="7",BH1969,0)</f>
        <v>0</v>
      </c>
      <c r="AE1969" s="93">
        <f>IF(AQ1969="7",BI1969,0)</f>
        <v>0</v>
      </c>
      <c r="AF1969" s="93">
        <f>IF(AQ1969="2",BH1969,0)</f>
        <v>0</v>
      </c>
      <c r="AG1969" s="93">
        <f>IF(AQ1969="2",BI1969,0)</f>
        <v>0</v>
      </c>
      <c r="AH1969" s="93">
        <f>IF(AQ1969="0",BJ1969,0)</f>
        <v>0</v>
      </c>
      <c r="AI1969" s="88" t="s">
        <v>55</v>
      </c>
      <c r="AJ1969" s="93">
        <f>IF(AN1969=0,L1969,0)</f>
        <v>0</v>
      </c>
      <c r="AK1969" s="93">
        <f>IF(AN1969=12,L1969,0)</f>
        <v>0</v>
      </c>
      <c r="AL1969" s="93">
        <f>IF(AN1969=21,L1969,0)</f>
        <v>0</v>
      </c>
      <c r="AN1969" s="93">
        <v>21</v>
      </c>
      <c r="AO1969" s="93">
        <f>H1969*1</f>
        <v>0</v>
      </c>
      <c r="AP1969" s="93">
        <f>H1969*(1-1)</f>
        <v>0</v>
      </c>
      <c r="AQ1969" s="94" t="s">
        <v>148</v>
      </c>
      <c r="AV1969" s="93">
        <f>AW1969+AX1969</f>
        <v>0</v>
      </c>
      <c r="AW1969" s="93">
        <f>G1969*AO1969</f>
        <v>0</v>
      </c>
      <c r="AX1969" s="93">
        <f>G1969*AP1969</f>
        <v>0</v>
      </c>
      <c r="AY1969" s="94" t="s">
        <v>2510</v>
      </c>
      <c r="AZ1969" s="94" t="s">
        <v>2247</v>
      </c>
      <c r="BA1969" s="88" t="s">
        <v>67</v>
      </c>
      <c r="BC1969" s="93">
        <f>AW1969+AX1969</f>
        <v>0</v>
      </c>
      <c r="BD1969" s="93">
        <f>H1969/(100-BE1969)*100</f>
        <v>0</v>
      </c>
      <c r="BE1969" s="93">
        <v>0</v>
      </c>
      <c r="BF1969" s="93">
        <f>O1969</f>
        <v>0</v>
      </c>
      <c r="BH1969" s="93">
        <f>G1969*AO1969</f>
        <v>0</v>
      </c>
      <c r="BI1969" s="93">
        <f>G1969*AP1969</f>
        <v>0</v>
      </c>
      <c r="BJ1969" s="93">
        <f>G1969*H1969</f>
        <v>0</v>
      </c>
      <c r="BK1969" s="93"/>
      <c r="BL1969" s="93">
        <v>767</v>
      </c>
      <c r="BW1969" s="93" t="str">
        <f>I1969</f>
        <v>21</v>
      </c>
      <c r="BX1969" s="2" t="s">
        <v>2668</v>
      </c>
    </row>
    <row r="1970" spans="1:76" s="81" customFormat="1" x14ac:dyDescent="0.25">
      <c r="A1970" s="110"/>
      <c r="B1970" s="95"/>
      <c r="C1970" s="95"/>
      <c r="D1970" s="76" t="s">
        <v>54</v>
      </c>
      <c r="E1970" s="76" t="s">
        <v>2663</v>
      </c>
      <c r="F1970" s="95"/>
      <c r="G1970" s="96">
        <v>0</v>
      </c>
      <c r="H1970" s="95"/>
      <c r="I1970" s="95"/>
      <c r="J1970" s="95"/>
      <c r="K1970" s="95"/>
      <c r="L1970" s="95"/>
      <c r="M1970" s="95"/>
      <c r="N1970" s="95"/>
      <c r="O1970" s="95"/>
      <c r="P1970" s="95"/>
    </row>
    <row r="1971" spans="1:76" s="81" customFormat="1" x14ac:dyDescent="0.25">
      <c r="A1971" s="110"/>
      <c r="B1971" s="95"/>
      <c r="C1971" s="95"/>
      <c r="D1971" s="76" t="s">
        <v>412</v>
      </c>
      <c r="E1971" s="76" t="s">
        <v>2669</v>
      </c>
      <c r="F1971" s="95"/>
      <c r="G1971" s="96">
        <v>48</v>
      </c>
      <c r="H1971" s="95"/>
      <c r="I1971" s="95"/>
      <c r="J1971" s="95"/>
      <c r="K1971" s="95"/>
      <c r="L1971" s="95"/>
      <c r="M1971" s="95"/>
      <c r="N1971" s="95"/>
      <c r="O1971" s="95"/>
      <c r="P1971" s="95"/>
    </row>
    <row r="1972" spans="1:76" s="81" customFormat="1" x14ac:dyDescent="0.25">
      <c r="A1972" s="110"/>
      <c r="B1972" s="95"/>
      <c r="C1972" s="95"/>
      <c r="D1972" s="76" t="s">
        <v>2670</v>
      </c>
      <c r="E1972" s="76" t="s">
        <v>2671</v>
      </c>
      <c r="F1972" s="95"/>
      <c r="G1972" s="96">
        <v>41.4</v>
      </c>
      <c r="H1972" s="91"/>
      <c r="I1972" s="95"/>
      <c r="J1972" s="95"/>
      <c r="K1972" s="95"/>
      <c r="L1972" s="95"/>
      <c r="M1972" s="95"/>
      <c r="N1972" s="95"/>
      <c r="O1972" s="95"/>
      <c r="P1972" s="95"/>
    </row>
    <row r="1973" spans="1:76" s="81" customFormat="1" ht="25.5" x14ac:dyDescent="0.25">
      <c r="A1973" s="66" t="s">
        <v>2680</v>
      </c>
      <c r="B1973" s="72" t="s">
        <v>55</v>
      </c>
      <c r="C1973" s="72" t="s">
        <v>2673</v>
      </c>
      <c r="D1973" s="174" t="s">
        <v>2674</v>
      </c>
      <c r="E1973" s="174"/>
      <c r="F1973" s="72" t="s">
        <v>192</v>
      </c>
      <c r="G1973" s="90">
        <v>43.7</v>
      </c>
      <c r="H1973" s="91"/>
      <c r="I1973" s="92" t="s">
        <v>63</v>
      </c>
      <c r="J1973" s="90">
        <f>G1973*AO1973</f>
        <v>0</v>
      </c>
      <c r="K1973" s="90">
        <f>G1973*AP1973</f>
        <v>0</v>
      </c>
      <c r="L1973" s="90">
        <f>G1973*H1973</f>
        <v>0</v>
      </c>
      <c r="M1973" s="90">
        <f>L1973*(1+BW1973/100)</f>
        <v>0</v>
      </c>
      <c r="N1973" s="90">
        <v>0</v>
      </c>
      <c r="O1973" s="90">
        <f>G1973*N1973</f>
        <v>0</v>
      </c>
      <c r="P1973" s="92" t="s">
        <v>287</v>
      </c>
      <c r="Z1973" s="93">
        <f>IF(AQ1973="5",BJ1973,0)</f>
        <v>0</v>
      </c>
      <c r="AB1973" s="93">
        <f>IF(AQ1973="1",BH1973,0)</f>
        <v>0</v>
      </c>
      <c r="AC1973" s="93">
        <f>IF(AQ1973="1",BI1973,0)</f>
        <v>0</v>
      </c>
      <c r="AD1973" s="93">
        <f>IF(AQ1973="7",BH1973,0)</f>
        <v>0</v>
      </c>
      <c r="AE1973" s="93">
        <f>IF(AQ1973="7",BI1973,0)</f>
        <v>0</v>
      </c>
      <c r="AF1973" s="93">
        <f>IF(AQ1973="2",BH1973,0)</f>
        <v>0</v>
      </c>
      <c r="AG1973" s="93">
        <f>IF(AQ1973="2",BI1973,0)</f>
        <v>0</v>
      </c>
      <c r="AH1973" s="93">
        <f>IF(AQ1973="0",BJ1973,0)</f>
        <v>0</v>
      </c>
      <c r="AI1973" s="88" t="s">
        <v>55</v>
      </c>
      <c r="AJ1973" s="93">
        <f>IF(AN1973=0,L1973,0)</f>
        <v>0</v>
      </c>
      <c r="AK1973" s="93">
        <f>IF(AN1973=12,L1973,0)</f>
        <v>0</v>
      </c>
      <c r="AL1973" s="93">
        <f>IF(AN1973=21,L1973,0)</f>
        <v>0</v>
      </c>
      <c r="AN1973" s="93">
        <v>21</v>
      </c>
      <c r="AO1973" s="93">
        <f>H1973*1</f>
        <v>0</v>
      </c>
      <c r="AP1973" s="93">
        <f>H1973*(1-1)</f>
        <v>0</v>
      </c>
      <c r="AQ1973" s="94" t="s">
        <v>148</v>
      </c>
      <c r="AV1973" s="93">
        <f>AW1973+AX1973</f>
        <v>0</v>
      </c>
      <c r="AW1973" s="93">
        <f>G1973*AO1973</f>
        <v>0</v>
      </c>
      <c r="AX1973" s="93">
        <f>G1973*AP1973</f>
        <v>0</v>
      </c>
      <c r="AY1973" s="94" t="s">
        <v>2510</v>
      </c>
      <c r="AZ1973" s="94" t="s">
        <v>2247</v>
      </c>
      <c r="BA1973" s="88" t="s">
        <v>67</v>
      </c>
      <c r="BC1973" s="93">
        <f>AW1973+AX1973</f>
        <v>0</v>
      </c>
      <c r="BD1973" s="93">
        <f>H1973/(100-BE1973)*100</f>
        <v>0</v>
      </c>
      <c r="BE1973" s="93">
        <v>0</v>
      </c>
      <c r="BF1973" s="93">
        <f>O1973</f>
        <v>0</v>
      </c>
      <c r="BH1973" s="93">
        <f>G1973*AO1973</f>
        <v>0</v>
      </c>
      <c r="BI1973" s="93">
        <f>G1973*AP1973</f>
        <v>0</v>
      </c>
      <c r="BJ1973" s="93">
        <f>G1973*H1973</f>
        <v>0</v>
      </c>
      <c r="BK1973" s="93"/>
      <c r="BL1973" s="93">
        <v>767</v>
      </c>
      <c r="BW1973" s="93" t="str">
        <f>I1973</f>
        <v>21</v>
      </c>
      <c r="BX1973" s="2" t="s">
        <v>2674</v>
      </c>
    </row>
    <row r="1974" spans="1:76" s="81" customFormat="1" x14ac:dyDescent="0.25">
      <c r="A1974" s="110"/>
      <c r="B1974" s="95"/>
      <c r="C1974" s="95"/>
      <c r="D1974" s="76" t="s">
        <v>54</v>
      </c>
      <c r="E1974" s="76" t="s">
        <v>2663</v>
      </c>
      <c r="F1974" s="95"/>
      <c r="G1974" s="96">
        <v>0</v>
      </c>
      <c r="H1974" s="95"/>
      <c r="I1974" s="95"/>
      <c r="J1974" s="95"/>
      <c r="K1974" s="95"/>
      <c r="L1974" s="95"/>
      <c r="M1974" s="95"/>
      <c r="N1974" s="95"/>
      <c r="O1974" s="95"/>
      <c r="P1974" s="95"/>
    </row>
    <row r="1975" spans="1:76" s="81" customFormat="1" x14ac:dyDescent="0.25">
      <c r="A1975" s="110"/>
      <c r="B1975" s="95"/>
      <c r="C1975" s="95"/>
      <c r="D1975" s="76" t="s">
        <v>2675</v>
      </c>
      <c r="E1975" s="76" t="s">
        <v>2657</v>
      </c>
      <c r="F1975" s="95"/>
      <c r="G1975" s="96">
        <v>43.7</v>
      </c>
      <c r="H1975" s="95"/>
      <c r="I1975" s="95"/>
      <c r="J1975" s="95"/>
      <c r="K1975" s="95"/>
      <c r="L1975" s="95"/>
      <c r="M1975" s="95"/>
      <c r="N1975" s="95"/>
      <c r="O1975" s="95"/>
      <c r="P1975" s="95"/>
    </row>
    <row r="1976" spans="1:76" s="81" customFormat="1" ht="25.5" x14ac:dyDescent="0.25">
      <c r="A1976" s="66" t="s">
        <v>2684</v>
      </c>
      <c r="B1976" s="72" t="s">
        <v>55</v>
      </c>
      <c r="C1976" s="72" t="s">
        <v>2677</v>
      </c>
      <c r="D1976" s="174" t="s">
        <v>2678</v>
      </c>
      <c r="E1976" s="174"/>
      <c r="F1976" s="72" t="s">
        <v>192</v>
      </c>
      <c r="G1976" s="90">
        <v>87.6</v>
      </c>
      <c r="H1976" s="91"/>
      <c r="I1976" s="92" t="s">
        <v>63</v>
      </c>
      <c r="J1976" s="90">
        <f>G1976*AO1976</f>
        <v>0</v>
      </c>
      <c r="K1976" s="90">
        <f>G1976*AP1976</f>
        <v>0</v>
      </c>
      <c r="L1976" s="90">
        <f>G1976*H1976</f>
        <v>0</v>
      </c>
      <c r="M1976" s="90">
        <f>L1976*(1+BW1976/100)</f>
        <v>0</v>
      </c>
      <c r="N1976" s="90">
        <v>0</v>
      </c>
      <c r="O1976" s="90">
        <f>G1976*N1976</f>
        <v>0</v>
      </c>
      <c r="P1976" s="92" t="s">
        <v>287</v>
      </c>
      <c r="Z1976" s="93">
        <f>IF(AQ1976="5",BJ1976,0)</f>
        <v>0</v>
      </c>
      <c r="AB1976" s="93">
        <f>IF(AQ1976="1",BH1976,0)</f>
        <v>0</v>
      </c>
      <c r="AC1976" s="93">
        <f>IF(AQ1976="1",BI1976,0)</f>
        <v>0</v>
      </c>
      <c r="AD1976" s="93">
        <f>IF(AQ1976="7",BH1976,0)</f>
        <v>0</v>
      </c>
      <c r="AE1976" s="93">
        <f>IF(AQ1976="7",BI1976,0)</f>
        <v>0</v>
      </c>
      <c r="AF1976" s="93">
        <f>IF(AQ1976="2",BH1976,0)</f>
        <v>0</v>
      </c>
      <c r="AG1976" s="93">
        <f>IF(AQ1976="2",BI1976,0)</f>
        <v>0</v>
      </c>
      <c r="AH1976" s="93">
        <f>IF(AQ1976="0",BJ1976,0)</f>
        <v>0</v>
      </c>
      <c r="AI1976" s="88" t="s">
        <v>55</v>
      </c>
      <c r="AJ1976" s="93">
        <f>IF(AN1976=0,L1976,0)</f>
        <v>0</v>
      </c>
      <c r="AK1976" s="93">
        <f>IF(AN1976=12,L1976,0)</f>
        <v>0</v>
      </c>
      <c r="AL1976" s="93">
        <f>IF(AN1976=21,L1976,0)</f>
        <v>0</v>
      </c>
      <c r="AN1976" s="93">
        <v>21</v>
      </c>
      <c r="AO1976" s="93">
        <f>H1976*1</f>
        <v>0</v>
      </c>
      <c r="AP1976" s="93">
        <f>H1976*(1-1)</f>
        <v>0</v>
      </c>
      <c r="AQ1976" s="94" t="s">
        <v>148</v>
      </c>
      <c r="AV1976" s="93">
        <f>AW1976+AX1976</f>
        <v>0</v>
      </c>
      <c r="AW1976" s="93">
        <f>G1976*AO1976</f>
        <v>0</v>
      </c>
      <c r="AX1976" s="93">
        <f>G1976*AP1976</f>
        <v>0</v>
      </c>
      <c r="AY1976" s="94" t="s">
        <v>2510</v>
      </c>
      <c r="AZ1976" s="94" t="s">
        <v>2247</v>
      </c>
      <c r="BA1976" s="88" t="s">
        <v>67</v>
      </c>
      <c r="BC1976" s="93">
        <f>AW1976+AX1976</f>
        <v>0</v>
      </c>
      <c r="BD1976" s="93">
        <f>H1976/(100-BE1976)*100</f>
        <v>0</v>
      </c>
      <c r="BE1976" s="93">
        <v>0</v>
      </c>
      <c r="BF1976" s="93">
        <f>O1976</f>
        <v>0</v>
      </c>
      <c r="BH1976" s="93">
        <f>G1976*AO1976</f>
        <v>0</v>
      </c>
      <c r="BI1976" s="93">
        <f>G1976*AP1976</f>
        <v>0</v>
      </c>
      <c r="BJ1976" s="93">
        <f>G1976*H1976</f>
        <v>0</v>
      </c>
      <c r="BK1976" s="93"/>
      <c r="BL1976" s="93">
        <v>767</v>
      </c>
      <c r="BW1976" s="93" t="str">
        <f>I1976</f>
        <v>21</v>
      </c>
      <c r="BX1976" s="2" t="s">
        <v>2678</v>
      </c>
    </row>
    <row r="1977" spans="1:76" s="81" customFormat="1" x14ac:dyDescent="0.25">
      <c r="A1977" s="110"/>
      <c r="B1977" s="95"/>
      <c r="C1977" s="95"/>
      <c r="D1977" s="76" t="s">
        <v>54</v>
      </c>
      <c r="E1977" s="76" t="s">
        <v>2663</v>
      </c>
      <c r="F1977" s="95"/>
      <c r="G1977" s="96">
        <v>0</v>
      </c>
      <c r="H1977" s="95"/>
      <c r="I1977" s="95"/>
      <c r="J1977" s="95"/>
      <c r="K1977" s="95"/>
      <c r="L1977" s="95"/>
      <c r="M1977" s="95"/>
      <c r="N1977" s="95"/>
      <c r="O1977" s="95"/>
      <c r="P1977" s="95"/>
    </row>
    <row r="1978" spans="1:76" s="81" customFormat="1" x14ac:dyDescent="0.25">
      <c r="A1978" s="110"/>
      <c r="B1978" s="95"/>
      <c r="C1978" s="95"/>
      <c r="D1978" s="76" t="s">
        <v>2679</v>
      </c>
      <c r="E1978" s="76" t="s">
        <v>2657</v>
      </c>
      <c r="F1978" s="95"/>
      <c r="G1978" s="96">
        <v>87.6</v>
      </c>
      <c r="H1978" s="95"/>
      <c r="I1978" s="95"/>
      <c r="J1978" s="95"/>
      <c r="K1978" s="95"/>
      <c r="L1978" s="95"/>
      <c r="M1978" s="95"/>
      <c r="N1978" s="95"/>
      <c r="O1978" s="95"/>
      <c r="P1978" s="95"/>
    </row>
    <row r="1979" spans="1:76" s="81" customFormat="1" ht="25.5" x14ac:dyDescent="0.25">
      <c r="A1979" s="66" t="s">
        <v>2687</v>
      </c>
      <c r="B1979" s="72" t="s">
        <v>55</v>
      </c>
      <c r="C1979" s="72" t="s">
        <v>2681</v>
      </c>
      <c r="D1979" s="174" t="s">
        <v>2682</v>
      </c>
      <c r="E1979" s="174"/>
      <c r="F1979" s="72" t="s">
        <v>192</v>
      </c>
      <c r="G1979" s="90">
        <v>18.2</v>
      </c>
      <c r="H1979" s="91"/>
      <c r="I1979" s="92" t="s">
        <v>63</v>
      </c>
      <c r="J1979" s="90">
        <f>G1979*AO1979</f>
        <v>0</v>
      </c>
      <c r="K1979" s="90">
        <f>G1979*AP1979</f>
        <v>0</v>
      </c>
      <c r="L1979" s="90">
        <f>G1979*H1979</f>
        <v>0</v>
      </c>
      <c r="M1979" s="90">
        <f>L1979*(1+BW1979/100)</f>
        <v>0</v>
      </c>
      <c r="N1979" s="90">
        <v>0</v>
      </c>
      <c r="O1979" s="90">
        <f>G1979*N1979</f>
        <v>0</v>
      </c>
      <c r="P1979" s="92" t="s">
        <v>287</v>
      </c>
      <c r="Z1979" s="93">
        <f>IF(AQ1979="5",BJ1979,0)</f>
        <v>0</v>
      </c>
      <c r="AB1979" s="93">
        <f>IF(AQ1979="1",BH1979,0)</f>
        <v>0</v>
      </c>
      <c r="AC1979" s="93">
        <f>IF(AQ1979="1",BI1979,0)</f>
        <v>0</v>
      </c>
      <c r="AD1979" s="93">
        <f>IF(AQ1979="7",BH1979,0)</f>
        <v>0</v>
      </c>
      <c r="AE1979" s="93">
        <f>IF(AQ1979="7",BI1979,0)</f>
        <v>0</v>
      </c>
      <c r="AF1979" s="93">
        <f>IF(AQ1979="2",BH1979,0)</f>
        <v>0</v>
      </c>
      <c r="AG1979" s="93">
        <f>IF(AQ1979="2",BI1979,0)</f>
        <v>0</v>
      </c>
      <c r="AH1979" s="93">
        <f>IF(AQ1979="0",BJ1979,0)</f>
        <v>0</v>
      </c>
      <c r="AI1979" s="88" t="s">
        <v>55</v>
      </c>
      <c r="AJ1979" s="93">
        <f>IF(AN1979=0,L1979,0)</f>
        <v>0</v>
      </c>
      <c r="AK1979" s="93">
        <f>IF(AN1979=12,L1979,0)</f>
        <v>0</v>
      </c>
      <c r="AL1979" s="93">
        <f>IF(AN1979=21,L1979,0)</f>
        <v>0</v>
      </c>
      <c r="AN1979" s="93">
        <v>21</v>
      </c>
      <c r="AO1979" s="93">
        <f>H1979*1</f>
        <v>0</v>
      </c>
      <c r="AP1979" s="93">
        <f>H1979*(1-1)</f>
        <v>0</v>
      </c>
      <c r="AQ1979" s="94" t="s">
        <v>148</v>
      </c>
      <c r="AV1979" s="93">
        <f>AW1979+AX1979</f>
        <v>0</v>
      </c>
      <c r="AW1979" s="93">
        <f>G1979*AO1979</f>
        <v>0</v>
      </c>
      <c r="AX1979" s="93">
        <f>G1979*AP1979</f>
        <v>0</v>
      </c>
      <c r="AY1979" s="94" t="s">
        <v>2510</v>
      </c>
      <c r="AZ1979" s="94" t="s">
        <v>2247</v>
      </c>
      <c r="BA1979" s="88" t="s">
        <v>67</v>
      </c>
      <c r="BC1979" s="93">
        <f>AW1979+AX1979</f>
        <v>0</v>
      </c>
      <c r="BD1979" s="93">
        <f>H1979/(100-BE1979)*100</f>
        <v>0</v>
      </c>
      <c r="BE1979" s="93">
        <v>0</v>
      </c>
      <c r="BF1979" s="93">
        <f>O1979</f>
        <v>0</v>
      </c>
      <c r="BH1979" s="93">
        <f>G1979*AO1979</f>
        <v>0</v>
      </c>
      <c r="BI1979" s="93">
        <f>G1979*AP1979</f>
        <v>0</v>
      </c>
      <c r="BJ1979" s="93">
        <f>G1979*H1979</f>
        <v>0</v>
      </c>
      <c r="BK1979" s="93"/>
      <c r="BL1979" s="93">
        <v>767</v>
      </c>
      <c r="BW1979" s="93" t="str">
        <f>I1979</f>
        <v>21</v>
      </c>
      <c r="BX1979" s="2" t="s">
        <v>2682</v>
      </c>
    </row>
    <row r="1980" spans="1:76" s="81" customFormat="1" x14ac:dyDescent="0.25">
      <c r="A1980" s="110"/>
      <c r="B1980" s="95"/>
      <c r="C1980" s="95"/>
      <c r="D1980" s="76" t="s">
        <v>54</v>
      </c>
      <c r="E1980" s="76" t="s">
        <v>2663</v>
      </c>
      <c r="F1980" s="95"/>
      <c r="G1980" s="96">
        <v>0</v>
      </c>
      <c r="H1980" s="95"/>
      <c r="I1980" s="95"/>
      <c r="J1980" s="95"/>
      <c r="K1980" s="95"/>
      <c r="L1980" s="95"/>
      <c r="M1980" s="95"/>
      <c r="N1980" s="95"/>
      <c r="O1980" s="95"/>
      <c r="P1980" s="95"/>
    </row>
    <row r="1981" spans="1:76" s="81" customFormat="1" x14ac:dyDescent="0.25">
      <c r="A1981" s="110"/>
      <c r="B1981" s="95"/>
      <c r="C1981" s="95"/>
      <c r="D1981" s="76" t="s">
        <v>2683</v>
      </c>
      <c r="E1981" s="76" t="s">
        <v>2669</v>
      </c>
      <c r="F1981" s="95"/>
      <c r="G1981" s="96">
        <v>18.2</v>
      </c>
      <c r="H1981" s="95"/>
      <c r="I1981" s="95"/>
      <c r="J1981" s="95"/>
      <c r="K1981" s="95"/>
      <c r="L1981" s="95"/>
      <c r="M1981" s="95"/>
      <c r="N1981" s="95"/>
      <c r="O1981" s="95"/>
      <c r="P1981" s="95"/>
    </row>
    <row r="1982" spans="1:76" s="81" customFormat="1" ht="25.5" x14ac:dyDescent="0.25">
      <c r="A1982" s="66" t="s">
        <v>2688</v>
      </c>
      <c r="B1982" s="72" t="s">
        <v>55</v>
      </c>
      <c r="C1982" s="72" t="s">
        <v>2685</v>
      </c>
      <c r="D1982" s="174" t="s">
        <v>2686</v>
      </c>
      <c r="E1982" s="174"/>
      <c r="F1982" s="72" t="s">
        <v>192</v>
      </c>
      <c r="G1982" s="90">
        <v>13</v>
      </c>
      <c r="H1982" s="91"/>
      <c r="I1982" s="92" t="s">
        <v>63</v>
      </c>
      <c r="J1982" s="90">
        <f>G1982*AO1982</f>
        <v>0</v>
      </c>
      <c r="K1982" s="90">
        <f>G1982*AP1982</f>
        <v>0</v>
      </c>
      <c r="L1982" s="90">
        <f>G1982*H1982</f>
        <v>0</v>
      </c>
      <c r="M1982" s="90">
        <f>L1982*(1+BW1982/100)</f>
        <v>0</v>
      </c>
      <c r="N1982" s="90">
        <v>0</v>
      </c>
      <c r="O1982" s="90">
        <f>G1982*N1982</f>
        <v>0</v>
      </c>
      <c r="P1982" s="92" t="s">
        <v>287</v>
      </c>
      <c r="Z1982" s="93">
        <f>IF(AQ1982="5",BJ1982,0)</f>
        <v>0</v>
      </c>
      <c r="AB1982" s="93">
        <f>IF(AQ1982="1",BH1982,0)</f>
        <v>0</v>
      </c>
      <c r="AC1982" s="93">
        <f>IF(AQ1982="1",BI1982,0)</f>
        <v>0</v>
      </c>
      <c r="AD1982" s="93">
        <f>IF(AQ1982="7",BH1982,0)</f>
        <v>0</v>
      </c>
      <c r="AE1982" s="93">
        <f>IF(AQ1982="7",BI1982,0)</f>
        <v>0</v>
      </c>
      <c r="AF1982" s="93">
        <f>IF(AQ1982="2",BH1982,0)</f>
        <v>0</v>
      </c>
      <c r="AG1982" s="93">
        <f>IF(AQ1982="2",BI1982,0)</f>
        <v>0</v>
      </c>
      <c r="AH1982" s="93">
        <f>IF(AQ1982="0",BJ1982,0)</f>
        <v>0</v>
      </c>
      <c r="AI1982" s="88" t="s">
        <v>55</v>
      </c>
      <c r="AJ1982" s="93">
        <f>IF(AN1982=0,L1982,0)</f>
        <v>0</v>
      </c>
      <c r="AK1982" s="93">
        <f>IF(AN1982=12,L1982,0)</f>
        <v>0</v>
      </c>
      <c r="AL1982" s="93">
        <f>IF(AN1982=21,L1982,0)</f>
        <v>0</v>
      </c>
      <c r="AN1982" s="93">
        <v>21</v>
      </c>
      <c r="AO1982" s="93">
        <f>H1982*1</f>
        <v>0</v>
      </c>
      <c r="AP1982" s="93">
        <f>H1982*(1-1)</f>
        <v>0</v>
      </c>
      <c r="AQ1982" s="94" t="s">
        <v>148</v>
      </c>
      <c r="AV1982" s="93">
        <f>AW1982+AX1982</f>
        <v>0</v>
      </c>
      <c r="AW1982" s="93">
        <f>G1982*AO1982</f>
        <v>0</v>
      </c>
      <c r="AX1982" s="93">
        <f>G1982*AP1982</f>
        <v>0</v>
      </c>
      <c r="AY1982" s="94" t="s">
        <v>2510</v>
      </c>
      <c r="AZ1982" s="94" t="s">
        <v>2247</v>
      </c>
      <c r="BA1982" s="88" t="s">
        <v>67</v>
      </c>
      <c r="BC1982" s="93">
        <f>AW1982+AX1982</f>
        <v>0</v>
      </c>
      <c r="BD1982" s="93">
        <f>H1982/(100-BE1982)*100</f>
        <v>0</v>
      </c>
      <c r="BE1982" s="93">
        <v>0</v>
      </c>
      <c r="BF1982" s="93">
        <f>O1982</f>
        <v>0</v>
      </c>
      <c r="BH1982" s="93">
        <f>G1982*AO1982</f>
        <v>0</v>
      </c>
      <c r="BI1982" s="93">
        <f>G1982*AP1982</f>
        <v>0</v>
      </c>
      <c r="BJ1982" s="93">
        <f>G1982*H1982</f>
        <v>0</v>
      </c>
      <c r="BK1982" s="93"/>
      <c r="BL1982" s="93">
        <v>767</v>
      </c>
      <c r="BW1982" s="93" t="str">
        <f>I1982</f>
        <v>21</v>
      </c>
      <c r="BX1982" s="2" t="s">
        <v>2686</v>
      </c>
    </row>
    <row r="1983" spans="1:76" s="81" customFormat="1" x14ac:dyDescent="0.25">
      <c r="A1983" s="110"/>
      <c r="B1983" s="95"/>
      <c r="C1983" s="95"/>
      <c r="D1983" s="76" t="s">
        <v>54</v>
      </c>
      <c r="E1983" s="76" t="s">
        <v>2663</v>
      </c>
      <c r="F1983" s="95"/>
      <c r="G1983" s="96">
        <v>0</v>
      </c>
      <c r="H1983" s="95"/>
      <c r="I1983" s="95"/>
      <c r="J1983" s="95"/>
      <c r="K1983" s="95"/>
      <c r="L1983" s="95"/>
      <c r="M1983" s="95"/>
      <c r="N1983" s="95"/>
      <c r="O1983" s="95"/>
      <c r="P1983" s="95"/>
    </row>
    <row r="1984" spans="1:76" s="81" customFormat="1" x14ac:dyDescent="0.25">
      <c r="A1984" s="110"/>
      <c r="B1984" s="95"/>
      <c r="C1984" s="95"/>
      <c r="D1984" s="76" t="s">
        <v>57</v>
      </c>
      <c r="E1984" s="76" t="s">
        <v>2669</v>
      </c>
      <c r="F1984" s="95"/>
      <c r="G1984" s="96">
        <v>13</v>
      </c>
      <c r="H1984" s="95"/>
      <c r="I1984" s="95"/>
      <c r="J1984" s="95"/>
      <c r="K1984" s="95"/>
      <c r="L1984" s="95"/>
      <c r="M1984" s="95"/>
      <c r="N1984" s="95"/>
      <c r="O1984" s="95"/>
      <c r="P1984" s="95"/>
    </row>
    <row r="1985" spans="1:76" s="81" customFormat="1" ht="25.5" x14ac:dyDescent="0.25">
      <c r="A1985" s="66" t="s">
        <v>2690</v>
      </c>
      <c r="B1985" s="72" t="s">
        <v>55</v>
      </c>
      <c r="C1985" s="72" t="s">
        <v>2685</v>
      </c>
      <c r="D1985" s="174" t="s">
        <v>2686</v>
      </c>
      <c r="E1985" s="174"/>
      <c r="F1985" s="72" t="s">
        <v>192</v>
      </c>
      <c r="G1985" s="90">
        <v>13</v>
      </c>
      <c r="H1985" s="91"/>
      <c r="I1985" s="92" t="s">
        <v>63</v>
      </c>
      <c r="J1985" s="90">
        <f>G1985*AO1985</f>
        <v>0</v>
      </c>
      <c r="K1985" s="90">
        <f>G1985*AP1985</f>
        <v>0</v>
      </c>
      <c r="L1985" s="90">
        <f>G1985*H1985</f>
        <v>0</v>
      </c>
      <c r="M1985" s="90">
        <f>L1985*(1+BW1985/100)</f>
        <v>0</v>
      </c>
      <c r="N1985" s="90">
        <v>0</v>
      </c>
      <c r="O1985" s="90">
        <f>G1985*N1985</f>
        <v>0</v>
      </c>
      <c r="P1985" s="92" t="s">
        <v>287</v>
      </c>
      <c r="Z1985" s="93">
        <f>IF(AQ1985="5",BJ1985,0)</f>
        <v>0</v>
      </c>
      <c r="AB1985" s="93">
        <f>IF(AQ1985="1",BH1985,0)</f>
        <v>0</v>
      </c>
      <c r="AC1985" s="93">
        <f>IF(AQ1985="1",BI1985,0)</f>
        <v>0</v>
      </c>
      <c r="AD1985" s="93">
        <f>IF(AQ1985="7",BH1985,0)</f>
        <v>0</v>
      </c>
      <c r="AE1985" s="93">
        <f>IF(AQ1985="7",BI1985,0)</f>
        <v>0</v>
      </c>
      <c r="AF1985" s="93">
        <f>IF(AQ1985="2",BH1985,0)</f>
        <v>0</v>
      </c>
      <c r="AG1985" s="93">
        <f>IF(AQ1985="2",BI1985,0)</f>
        <v>0</v>
      </c>
      <c r="AH1985" s="93">
        <f>IF(AQ1985="0",BJ1985,0)</f>
        <v>0</v>
      </c>
      <c r="AI1985" s="88" t="s">
        <v>55</v>
      </c>
      <c r="AJ1985" s="93">
        <f>IF(AN1985=0,L1985,0)</f>
        <v>0</v>
      </c>
      <c r="AK1985" s="93">
        <f>IF(AN1985=12,L1985,0)</f>
        <v>0</v>
      </c>
      <c r="AL1985" s="93">
        <f>IF(AN1985=21,L1985,0)</f>
        <v>0</v>
      </c>
      <c r="AN1985" s="93">
        <v>21</v>
      </c>
      <c r="AO1985" s="93">
        <f>H1985*1</f>
        <v>0</v>
      </c>
      <c r="AP1985" s="93">
        <f>H1985*(1-1)</f>
        <v>0</v>
      </c>
      <c r="AQ1985" s="94" t="s">
        <v>148</v>
      </c>
      <c r="AV1985" s="93">
        <f>AW1985+AX1985</f>
        <v>0</v>
      </c>
      <c r="AW1985" s="93">
        <f>G1985*AO1985</f>
        <v>0</v>
      </c>
      <c r="AX1985" s="93">
        <f>G1985*AP1985</f>
        <v>0</v>
      </c>
      <c r="AY1985" s="94" t="s">
        <v>2510</v>
      </c>
      <c r="AZ1985" s="94" t="s">
        <v>2247</v>
      </c>
      <c r="BA1985" s="88" t="s">
        <v>67</v>
      </c>
      <c r="BC1985" s="93">
        <f>AW1985+AX1985</f>
        <v>0</v>
      </c>
      <c r="BD1985" s="93">
        <f>H1985/(100-BE1985)*100</f>
        <v>0</v>
      </c>
      <c r="BE1985" s="93">
        <v>0</v>
      </c>
      <c r="BF1985" s="93">
        <f>O1985</f>
        <v>0</v>
      </c>
      <c r="BH1985" s="93">
        <f>G1985*AO1985</f>
        <v>0</v>
      </c>
      <c r="BI1985" s="93">
        <f>G1985*AP1985</f>
        <v>0</v>
      </c>
      <c r="BJ1985" s="93">
        <f>G1985*H1985</f>
        <v>0</v>
      </c>
      <c r="BK1985" s="93"/>
      <c r="BL1985" s="93">
        <v>767</v>
      </c>
      <c r="BW1985" s="93" t="str">
        <f>I1985</f>
        <v>21</v>
      </c>
      <c r="BX1985" s="2" t="s">
        <v>2686</v>
      </c>
    </row>
    <row r="1986" spans="1:76" s="81" customFormat="1" x14ac:dyDescent="0.25">
      <c r="A1986" s="110"/>
      <c r="B1986" s="95"/>
      <c r="C1986" s="95"/>
      <c r="D1986" s="76" t="s">
        <v>54</v>
      </c>
      <c r="E1986" s="76" t="s">
        <v>2663</v>
      </c>
      <c r="F1986" s="95"/>
      <c r="G1986" s="96">
        <v>0</v>
      </c>
      <c r="H1986" s="95"/>
      <c r="I1986" s="95"/>
      <c r="J1986" s="95"/>
      <c r="K1986" s="95"/>
      <c r="L1986" s="95"/>
      <c r="M1986" s="95"/>
      <c r="N1986" s="95"/>
      <c r="O1986" s="95"/>
      <c r="P1986" s="95"/>
    </row>
    <row r="1987" spans="1:76" s="81" customFormat="1" x14ac:dyDescent="0.25">
      <c r="A1987" s="110"/>
      <c r="B1987" s="95"/>
      <c r="C1987" s="95"/>
      <c r="D1987" s="76" t="s">
        <v>57</v>
      </c>
      <c r="E1987" s="76" t="s">
        <v>2669</v>
      </c>
      <c r="F1987" s="95"/>
      <c r="G1987" s="96">
        <v>13</v>
      </c>
      <c r="H1987" s="95"/>
      <c r="I1987" s="95"/>
      <c r="J1987" s="95"/>
      <c r="K1987" s="95"/>
      <c r="L1987" s="95"/>
      <c r="M1987" s="95"/>
      <c r="N1987" s="95"/>
      <c r="O1987" s="95"/>
      <c r="P1987" s="95"/>
    </row>
    <row r="1988" spans="1:76" s="81" customFormat="1" ht="25.5" x14ac:dyDescent="0.25">
      <c r="A1988" s="66" t="s">
        <v>2693</v>
      </c>
      <c r="B1988" s="72" t="s">
        <v>55</v>
      </c>
      <c r="C1988" s="72" t="s">
        <v>2689</v>
      </c>
      <c r="D1988" s="174" t="s">
        <v>2686</v>
      </c>
      <c r="E1988" s="174"/>
      <c r="F1988" s="72" t="s">
        <v>192</v>
      </c>
      <c r="G1988" s="90">
        <v>13</v>
      </c>
      <c r="H1988" s="91"/>
      <c r="I1988" s="92" t="s">
        <v>63</v>
      </c>
      <c r="J1988" s="90">
        <f>G1988*AO1988</f>
        <v>0</v>
      </c>
      <c r="K1988" s="90">
        <f>G1988*AP1988</f>
        <v>0</v>
      </c>
      <c r="L1988" s="90">
        <f>G1988*H1988</f>
        <v>0</v>
      </c>
      <c r="M1988" s="90">
        <f>L1988*(1+BW1988/100)</f>
        <v>0</v>
      </c>
      <c r="N1988" s="90">
        <v>0</v>
      </c>
      <c r="O1988" s="90">
        <f>G1988*N1988</f>
        <v>0</v>
      </c>
      <c r="P1988" s="92" t="s">
        <v>287</v>
      </c>
      <c r="Z1988" s="93">
        <f>IF(AQ1988="5",BJ1988,0)</f>
        <v>0</v>
      </c>
      <c r="AB1988" s="93">
        <f>IF(AQ1988="1",BH1988,0)</f>
        <v>0</v>
      </c>
      <c r="AC1988" s="93">
        <f>IF(AQ1988="1",BI1988,0)</f>
        <v>0</v>
      </c>
      <c r="AD1988" s="93">
        <f>IF(AQ1988="7",BH1988,0)</f>
        <v>0</v>
      </c>
      <c r="AE1988" s="93">
        <f>IF(AQ1988="7",BI1988,0)</f>
        <v>0</v>
      </c>
      <c r="AF1988" s="93">
        <f>IF(AQ1988="2",BH1988,0)</f>
        <v>0</v>
      </c>
      <c r="AG1988" s="93">
        <f>IF(AQ1988="2",BI1988,0)</f>
        <v>0</v>
      </c>
      <c r="AH1988" s="93">
        <f>IF(AQ1988="0",BJ1988,0)</f>
        <v>0</v>
      </c>
      <c r="AI1988" s="88" t="s">
        <v>55</v>
      </c>
      <c r="AJ1988" s="93">
        <f>IF(AN1988=0,L1988,0)</f>
        <v>0</v>
      </c>
      <c r="AK1988" s="93">
        <f>IF(AN1988=12,L1988,0)</f>
        <v>0</v>
      </c>
      <c r="AL1988" s="93">
        <f>IF(AN1988=21,L1988,0)</f>
        <v>0</v>
      </c>
      <c r="AN1988" s="93">
        <v>21</v>
      </c>
      <c r="AO1988" s="93">
        <f>H1988*1</f>
        <v>0</v>
      </c>
      <c r="AP1988" s="93">
        <f>H1988*(1-1)</f>
        <v>0</v>
      </c>
      <c r="AQ1988" s="94" t="s">
        <v>148</v>
      </c>
      <c r="AV1988" s="93">
        <f>AW1988+AX1988</f>
        <v>0</v>
      </c>
      <c r="AW1988" s="93">
        <f>G1988*AO1988</f>
        <v>0</v>
      </c>
      <c r="AX1988" s="93">
        <f>G1988*AP1988</f>
        <v>0</v>
      </c>
      <c r="AY1988" s="94" t="s">
        <v>2510</v>
      </c>
      <c r="AZ1988" s="94" t="s">
        <v>2247</v>
      </c>
      <c r="BA1988" s="88" t="s">
        <v>67</v>
      </c>
      <c r="BC1988" s="93">
        <f>AW1988+AX1988</f>
        <v>0</v>
      </c>
      <c r="BD1988" s="93">
        <f>H1988/(100-BE1988)*100</f>
        <v>0</v>
      </c>
      <c r="BE1988" s="93">
        <v>0</v>
      </c>
      <c r="BF1988" s="93">
        <f>O1988</f>
        <v>0</v>
      </c>
      <c r="BH1988" s="93">
        <f>G1988*AO1988</f>
        <v>0</v>
      </c>
      <c r="BI1988" s="93">
        <f>G1988*AP1988</f>
        <v>0</v>
      </c>
      <c r="BJ1988" s="93">
        <f>G1988*H1988</f>
        <v>0</v>
      </c>
      <c r="BK1988" s="93"/>
      <c r="BL1988" s="93">
        <v>767</v>
      </c>
      <c r="BW1988" s="93" t="str">
        <f>I1988</f>
        <v>21</v>
      </c>
      <c r="BX1988" s="2" t="s">
        <v>2686</v>
      </c>
    </row>
    <row r="1989" spans="1:76" s="81" customFormat="1" x14ac:dyDescent="0.25">
      <c r="A1989" s="110"/>
      <c r="B1989" s="95"/>
      <c r="C1989" s="95"/>
      <c r="D1989" s="76" t="s">
        <v>54</v>
      </c>
      <c r="E1989" s="76" t="s">
        <v>2663</v>
      </c>
      <c r="F1989" s="95"/>
      <c r="G1989" s="96">
        <v>0</v>
      </c>
      <c r="H1989" s="95"/>
      <c r="I1989" s="95"/>
      <c r="J1989" s="95"/>
      <c r="K1989" s="95"/>
      <c r="L1989" s="95"/>
      <c r="M1989" s="95"/>
      <c r="N1989" s="95"/>
      <c r="O1989" s="95"/>
      <c r="P1989" s="95"/>
    </row>
    <row r="1990" spans="1:76" s="81" customFormat="1" x14ac:dyDescent="0.25">
      <c r="A1990" s="110"/>
      <c r="B1990" s="95"/>
      <c r="C1990" s="95"/>
      <c r="D1990" s="76" t="s">
        <v>57</v>
      </c>
      <c r="E1990" s="76" t="s">
        <v>2669</v>
      </c>
      <c r="F1990" s="95"/>
      <c r="G1990" s="96">
        <v>13</v>
      </c>
      <c r="H1990" s="95"/>
      <c r="I1990" s="95"/>
      <c r="J1990" s="95"/>
      <c r="K1990" s="95"/>
      <c r="L1990" s="95"/>
      <c r="M1990" s="95"/>
      <c r="N1990" s="95"/>
      <c r="O1990" s="95"/>
      <c r="P1990" s="95"/>
    </row>
    <row r="1991" spans="1:76" s="81" customFormat="1" ht="25.5" x14ac:dyDescent="0.25">
      <c r="A1991" s="66" t="s">
        <v>2696</v>
      </c>
      <c r="B1991" s="72" t="s">
        <v>55</v>
      </c>
      <c r="C1991" s="72" t="s">
        <v>2691</v>
      </c>
      <c r="D1991" s="174" t="s">
        <v>2686</v>
      </c>
      <c r="E1991" s="174"/>
      <c r="F1991" s="72" t="s">
        <v>192</v>
      </c>
      <c r="G1991" s="90">
        <v>14.9</v>
      </c>
      <c r="H1991" s="91"/>
      <c r="I1991" s="92" t="s">
        <v>63</v>
      </c>
      <c r="J1991" s="90">
        <f>G1991*AO1991</f>
        <v>0</v>
      </c>
      <c r="K1991" s="90">
        <f>G1991*AP1991</f>
        <v>0</v>
      </c>
      <c r="L1991" s="90">
        <f>G1991*H1991</f>
        <v>0</v>
      </c>
      <c r="M1991" s="90">
        <f>L1991*(1+BW1991/100)</f>
        <v>0</v>
      </c>
      <c r="N1991" s="90">
        <v>0</v>
      </c>
      <c r="O1991" s="90">
        <f>G1991*N1991</f>
        <v>0</v>
      </c>
      <c r="P1991" s="92" t="s">
        <v>287</v>
      </c>
      <c r="Z1991" s="93">
        <f>IF(AQ1991="5",BJ1991,0)</f>
        <v>0</v>
      </c>
      <c r="AB1991" s="93">
        <f>IF(AQ1991="1",BH1991,0)</f>
        <v>0</v>
      </c>
      <c r="AC1991" s="93">
        <f>IF(AQ1991="1",BI1991,0)</f>
        <v>0</v>
      </c>
      <c r="AD1991" s="93">
        <f>IF(AQ1991="7",BH1991,0)</f>
        <v>0</v>
      </c>
      <c r="AE1991" s="93">
        <f>IF(AQ1991="7",BI1991,0)</f>
        <v>0</v>
      </c>
      <c r="AF1991" s="93">
        <f>IF(AQ1991="2",BH1991,0)</f>
        <v>0</v>
      </c>
      <c r="AG1991" s="93">
        <f>IF(AQ1991="2",BI1991,0)</f>
        <v>0</v>
      </c>
      <c r="AH1991" s="93">
        <f>IF(AQ1991="0",BJ1991,0)</f>
        <v>0</v>
      </c>
      <c r="AI1991" s="88" t="s">
        <v>55</v>
      </c>
      <c r="AJ1991" s="93">
        <f>IF(AN1991=0,L1991,0)</f>
        <v>0</v>
      </c>
      <c r="AK1991" s="93">
        <f>IF(AN1991=12,L1991,0)</f>
        <v>0</v>
      </c>
      <c r="AL1991" s="93">
        <f>IF(AN1991=21,L1991,0)</f>
        <v>0</v>
      </c>
      <c r="AN1991" s="93">
        <v>21</v>
      </c>
      <c r="AO1991" s="93">
        <f>H1991*1</f>
        <v>0</v>
      </c>
      <c r="AP1991" s="93">
        <f>H1991*(1-1)</f>
        <v>0</v>
      </c>
      <c r="AQ1991" s="94" t="s">
        <v>148</v>
      </c>
      <c r="AV1991" s="93">
        <f>AW1991+AX1991</f>
        <v>0</v>
      </c>
      <c r="AW1991" s="93">
        <f>G1991*AO1991</f>
        <v>0</v>
      </c>
      <c r="AX1991" s="93">
        <f>G1991*AP1991</f>
        <v>0</v>
      </c>
      <c r="AY1991" s="94" t="s">
        <v>2510</v>
      </c>
      <c r="AZ1991" s="94" t="s">
        <v>2247</v>
      </c>
      <c r="BA1991" s="88" t="s">
        <v>67</v>
      </c>
      <c r="BC1991" s="93">
        <f>AW1991+AX1991</f>
        <v>0</v>
      </c>
      <c r="BD1991" s="93">
        <f>H1991/(100-BE1991)*100</f>
        <v>0</v>
      </c>
      <c r="BE1991" s="93">
        <v>0</v>
      </c>
      <c r="BF1991" s="93">
        <f>O1991</f>
        <v>0</v>
      </c>
      <c r="BH1991" s="93">
        <f>G1991*AO1991</f>
        <v>0</v>
      </c>
      <c r="BI1991" s="93">
        <f>G1991*AP1991</f>
        <v>0</v>
      </c>
      <c r="BJ1991" s="93">
        <f>G1991*H1991</f>
        <v>0</v>
      </c>
      <c r="BK1991" s="93"/>
      <c r="BL1991" s="93">
        <v>767</v>
      </c>
      <c r="BW1991" s="93" t="str">
        <f>I1991</f>
        <v>21</v>
      </c>
      <c r="BX1991" s="2" t="s">
        <v>2686</v>
      </c>
    </row>
    <row r="1992" spans="1:76" s="81" customFormat="1" x14ac:dyDescent="0.25">
      <c r="A1992" s="110"/>
      <c r="B1992" s="95"/>
      <c r="C1992" s="95"/>
      <c r="D1992" s="76" t="s">
        <v>54</v>
      </c>
      <c r="E1992" s="76" t="s">
        <v>2663</v>
      </c>
      <c r="F1992" s="95"/>
      <c r="G1992" s="96">
        <v>0</v>
      </c>
      <c r="H1992" s="95"/>
      <c r="I1992" s="95"/>
      <c r="J1992" s="95"/>
      <c r="K1992" s="95"/>
      <c r="L1992" s="95"/>
      <c r="M1992" s="95"/>
      <c r="N1992" s="95"/>
      <c r="O1992" s="95"/>
      <c r="P1992" s="95"/>
    </row>
    <row r="1993" spans="1:76" s="81" customFormat="1" x14ac:dyDescent="0.25">
      <c r="A1993" s="110"/>
      <c r="B1993" s="95"/>
      <c r="C1993" s="95"/>
      <c r="D1993" s="76" t="s">
        <v>2692</v>
      </c>
      <c r="E1993" s="76" t="s">
        <v>2669</v>
      </c>
      <c r="F1993" s="95"/>
      <c r="G1993" s="96">
        <v>14.9</v>
      </c>
      <c r="H1993" s="95"/>
      <c r="I1993" s="95"/>
      <c r="J1993" s="95"/>
      <c r="K1993" s="95"/>
      <c r="L1993" s="95"/>
      <c r="M1993" s="95"/>
      <c r="N1993" s="95"/>
      <c r="O1993" s="95"/>
      <c r="P1993" s="95"/>
    </row>
    <row r="1994" spans="1:76" s="81" customFormat="1" ht="25.5" x14ac:dyDescent="0.25">
      <c r="A1994" s="66" t="s">
        <v>2701</v>
      </c>
      <c r="B1994" s="72" t="s">
        <v>55</v>
      </c>
      <c r="C1994" s="72" t="s">
        <v>2694</v>
      </c>
      <c r="D1994" s="174" t="s">
        <v>2686</v>
      </c>
      <c r="E1994" s="174"/>
      <c r="F1994" s="72" t="s">
        <v>192</v>
      </c>
      <c r="G1994" s="90">
        <v>14.1</v>
      </c>
      <c r="H1994" s="91"/>
      <c r="I1994" s="92" t="s">
        <v>63</v>
      </c>
      <c r="J1994" s="90">
        <f>G1994*AO1994</f>
        <v>0</v>
      </c>
      <c r="K1994" s="90">
        <f>G1994*AP1994</f>
        <v>0</v>
      </c>
      <c r="L1994" s="90">
        <f>G1994*H1994</f>
        <v>0</v>
      </c>
      <c r="M1994" s="90">
        <f>L1994*(1+BW1994/100)</f>
        <v>0</v>
      </c>
      <c r="N1994" s="90">
        <v>0</v>
      </c>
      <c r="O1994" s="90">
        <f>G1994*N1994</f>
        <v>0</v>
      </c>
      <c r="P1994" s="92" t="s">
        <v>287</v>
      </c>
      <c r="Z1994" s="93">
        <f>IF(AQ1994="5",BJ1994,0)</f>
        <v>0</v>
      </c>
      <c r="AB1994" s="93">
        <f>IF(AQ1994="1",BH1994,0)</f>
        <v>0</v>
      </c>
      <c r="AC1994" s="93">
        <f>IF(AQ1994="1",BI1994,0)</f>
        <v>0</v>
      </c>
      <c r="AD1994" s="93">
        <f>IF(AQ1994="7",BH1994,0)</f>
        <v>0</v>
      </c>
      <c r="AE1994" s="93">
        <f>IF(AQ1994="7",BI1994,0)</f>
        <v>0</v>
      </c>
      <c r="AF1994" s="93">
        <f>IF(AQ1994="2",BH1994,0)</f>
        <v>0</v>
      </c>
      <c r="AG1994" s="93">
        <f>IF(AQ1994="2",BI1994,0)</f>
        <v>0</v>
      </c>
      <c r="AH1994" s="93">
        <f>IF(AQ1994="0",BJ1994,0)</f>
        <v>0</v>
      </c>
      <c r="AI1994" s="88" t="s">
        <v>55</v>
      </c>
      <c r="AJ1994" s="93">
        <f>IF(AN1994=0,L1994,0)</f>
        <v>0</v>
      </c>
      <c r="AK1994" s="93">
        <f>IF(AN1994=12,L1994,0)</f>
        <v>0</v>
      </c>
      <c r="AL1994" s="93">
        <f>IF(AN1994=21,L1994,0)</f>
        <v>0</v>
      </c>
      <c r="AN1994" s="93">
        <v>21</v>
      </c>
      <c r="AO1994" s="93">
        <f>H1994*1</f>
        <v>0</v>
      </c>
      <c r="AP1994" s="93">
        <f>H1994*(1-1)</f>
        <v>0</v>
      </c>
      <c r="AQ1994" s="94" t="s">
        <v>148</v>
      </c>
      <c r="AV1994" s="93">
        <f>AW1994+AX1994</f>
        <v>0</v>
      </c>
      <c r="AW1994" s="93">
        <f>G1994*AO1994</f>
        <v>0</v>
      </c>
      <c r="AX1994" s="93">
        <f>G1994*AP1994</f>
        <v>0</v>
      </c>
      <c r="AY1994" s="94" t="s">
        <v>2510</v>
      </c>
      <c r="AZ1994" s="94" t="s">
        <v>2247</v>
      </c>
      <c r="BA1994" s="88" t="s">
        <v>67</v>
      </c>
      <c r="BC1994" s="93">
        <f>AW1994+AX1994</f>
        <v>0</v>
      </c>
      <c r="BD1994" s="93">
        <f>H1994/(100-BE1994)*100</f>
        <v>0</v>
      </c>
      <c r="BE1994" s="93">
        <v>0</v>
      </c>
      <c r="BF1994" s="93">
        <f>O1994</f>
        <v>0</v>
      </c>
      <c r="BH1994" s="93">
        <f>G1994*AO1994</f>
        <v>0</v>
      </c>
      <c r="BI1994" s="93">
        <f>G1994*AP1994</f>
        <v>0</v>
      </c>
      <c r="BJ1994" s="93">
        <f>G1994*H1994</f>
        <v>0</v>
      </c>
      <c r="BK1994" s="93"/>
      <c r="BL1994" s="93">
        <v>767</v>
      </c>
      <c r="BW1994" s="93" t="str">
        <f>I1994</f>
        <v>21</v>
      </c>
      <c r="BX1994" s="2" t="s">
        <v>2686</v>
      </c>
    </row>
    <row r="1995" spans="1:76" s="81" customFormat="1" x14ac:dyDescent="0.25">
      <c r="A1995" s="110"/>
      <c r="B1995" s="95"/>
      <c r="C1995" s="95"/>
      <c r="D1995" s="76" t="s">
        <v>54</v>
      </c>
      <c r="E1995" s="76" t="s">
        <v>2663</v>
      </c>
      <c r="F1995" s="95"/>
      <c r="G1995" s="96">
        <v>0</v>
      </c>
      <c r="H1995" s="95"/>
      <c r="I1995" s="95"/>
      <c r="J1995" s="95"/>
      <c r="K1995" s="95"/>
      <c r="L1995" s="95"/>
      <c r="M1995" s="95"/>
      <c r="N1995" s="95"/>
      <c r="O1995" s="95"/>
      <c r="P1995" s="95"/>
    </row>
    <row r="1996" spans="1:76" s="81" customFormat="1" x14ac:dyDescent="0.25">
      <c r="A1996" s="110"/>
      <c r="B1996" s="95"/>
      <c r="C1996" s="95"/>
      <c r="D1996" s="76" t="s">
        <v>2695</v>
      </c>
      <c r="E1996" s="76" t="s">
        <v>2669</v>
      </c>
      <c r="F1996" s="95"/>
      <c r="G1996" s="96">
        <v>14.1</v>
      </c>
      <c r="H1996" s="95"/>
      <c r="I1996" s="95"/>
      <c r="J1996" s="95"/>
      <c r="K1996" s="95"/>
      <c r="L1996" s="95"/>
      <c r="M1996" s="95"/>
      <c r="N1996" s="95"/>
      <c r="O1996" s="95"/>
      <c r="P1996" s="95"/>
    </row>
    <row r="1997" spans="1:76" ht="25.5" x14ac:dyDescent="0.25">
      <c r="A1997" s="66" t="s">
        <v>2708</v>
      </c>
      <c r="B1997" s="66" t="s">
        <v>55</v>
      </c>
      <c r="C1997" s="66" t="s">
        <v>4339</v>
      </c>
      <c r="D1997" s="174" t="s">
        <v>4340</v>
      </c>
      <c r="E1997" s="175"/>
      <c r="F1997" s="66" t="s">
        <v>1332</v>
      </c>
      <c r="G1997" s="67">
        <v>1</v>
      </c>
      <c r="H1997" s="106"/>
      <c r="I1997" s="104">
        <v>21</v>
      </c>
      <c r="J1997" s="67">
        <f>ROUND(G1997*AO1997,2)</f>
        <v>0</v>
      </c>
      <c r="K1997" s="67">
        <f>ROUND(G1997*AP1997,2)</f>
        <v>0</v>
      </c>
      <c r="L1997" s="67">
        <f>ROUND(G1997*H1997,2)</f>
        <v>0</v>
      </c>
      <c r="M1997" s="67">
        <f>L1997*(1+BW1997/100)</f>
        <v>0</v>
      </c>
      <c r="N1997" s="67">
        <v>2.4099999999999998E-3</v>
      </c>
      <c r="O1997" s="67">
        <f>G1997*N1997</f>
        <v>2.4099999999999998E-3</v>
      </c>
      <c r="P1997" s="105" t="s">
        <v>578</v>
      </c>
      <c r="Z1997" s="23">
        <f>ROUND(IF(AQ1997="5",BJ1997,0),2)</f>
        <v>0</v>
      </c>
      <c r="AB1997" s="23">
        <f>ROUND(IF(AQ1997="1",BH1997,0),2)</f>
        <v>0</v>
      </c>
      <c r="AC1997" s="23">
        <f>ROUND(IF(AQ1997="1",BI1997,0),2)</f>
        <v>0</v>
      </c>
      <c r="AD1997" s="23">
        <f>ROUND(IF(AQ1997="7",BH1997,0),2)</f>
        <v>0</v>
      </c>
      <c r="AE1997" s="23">
        <f>ROUND(IF(AQ1997="7",BI1997,0),2)</f>
        <v>0</v>
      </c>
      <c r="AF1997" s="23">
        <f>ROUND(IF(AQ1997="2",BH1997,0),2)</f>
        <v>0</v>
      </c>
      <c r="AG1997" s="23">
        <f>ROUND(IF(AQ1997="2",BI1997,0),2)</f>
        <v>0</v>
      </c>
      <c r="AH1997" s="23">
        <f>ROUND(IF(AQ1997="0",BJ1997,0),2)</f>
        <v>0</v>
      </c>
      <c r="AI1997" s="10" t="s">
        <v>55</v>
      </c>
      <c r="AJ1997" s="23">
        <f>IF(AN1997=0,L1997,0)</f>
        <v>0</v>
      </c>
      <c r="AK1997" s="23">
        <f>IF(AN1997=12,L1997,0)</f>
        <v>0</v>
      </c>
      <c r="AL1997" s="23">
        <f>IF(AN1997=21,L1997,0)</f>
        <v>0</v>
      </c>
      <c r="AN1997" s="23">
        <v>21</v>
      </c>
      <c r="AO1997" s="23">
        <f>H1997*0</f>
        <v>0</v>
      </c>
      <c r="AP1997" s="23">
        <f>H1997*(1-0)</f>
        <v>0</v>
      </c>
      <c r="AQ1997" s="111" t="s">
        <v>148</v>
      </c>
      <c r="AV1997" s="23">
        <f>ROUND(AW1997+AX1997,2)</f>
        <v>0</v>
      </c>
      <c r="AW1997" s="23">
        <f>ROUND(G1997*AO1997,2)</f>
        <v>0</v>
      </c>
      <c r="AX1997" s="23">
        <f>ROUND(G1997*AP1997,2)</f>
        <v>0</v>
      </c>
      <c r="AY1997" s="111" t="s">
        <v>2510</v>
      </c>
      <c r="AZ1997" s="111" t="s">
        <v>2247</v>
      </c>
      <c r="BA1997" s="10" t="s">
        <v>67</v>
      </c>
      <c r="BC1997" s="23">
        <f>AW1997+AX1997</f>
        <v>0</v>
      </c>
      <c r="BD1997" s="23">
        <f>H1997/(100-BE1997)*100</f>
        <v>0</v>
      </c>
      <c r="BE1997" s="23">
        <v>0</v>
      </c>
      <c r="BF1997" s="23">
        <f>O1997</f>
        <v>2.4099999999999998E-3</v>
      </c>
      <c r="BH1997" s="23">
        <f>G1997*AO1997</f>
        <v>0</v>
      </c>
      <c r="BI1997" s="23">
        <f>G1997*AP1997</f>
        <v>0</v>
      </c>
      <c r="BJ1997" s="23">
        <f>G1997*H1997</f>
        <v>0</v>
      </c>
      <c r="BK1997" s="23"/>
      <c r="BL1997" s="23">
        <v>767</v>
      </c>
      <c r="BW1997" s="23">
        <f>I1997</f>
        <v>21</v>
      </c>
      <c r="BX1997" s="2" t="s">
        <v>4340</v>
      </c>
    </row>
    <row r="1998" spans="1:76" ht="13.5" customHeight="1" x14ac:dyDescent="0.25">
      <c r="A1998" s="110"/>
      <c r="B1998" s="110"/>
      <c r="C1998" s="110"/>
      <c r="D1998" s="179" t="s">
        <v>4341</v>
      </c>
      <c r="E1998" s="196"/>
      <c r="F1998" s="196"/>
      <c r="G1998" s="196"/>
      <c r="H1998" s="196"/>
      <c r="I1998" s="196"/>
      <c r="J1998" s="196"/>
      <c r="K1998" s="196"/>
      <c r="L1998" s="196"/>
      <c r="M1998" s="196"/>
      <c r="N1998" s="196"/>
      <c r="O1998" s="196"/>
      <c r="P1998" s="196"/>
    </row>
    <row r="1999" spans="1:76" s="81" customFormat="1" ht="25.5" x14ac:dyDescent="0.25">
      <c r="A1999" s="66" t="s">
        <v>2713</v>
      </c>
      <c r="B1999" s="72" t="s">
        <v>55</v>
      </c>
      <c r="C1999" s="72" t="s">
        <v>2697</v>
      </c>
      <c r="D1999" s="174" t="s">
        <v>2698</v>
      </c>
      <c r="E1999" s="174"/>
      <c r="F1999" s="72" t="s">
        <v>1447</v>
      </c>
      <c r="G1999" s="91"/>
      <c r="H1999" s="91"/>
      <c r="I1999" s="92" t="s">
        <v>63</v>
      </c>
      <c r="J1999" s="90">
        <f>G1999*AO1999</f>
        <v>0</v>
      </c>
      <c r="K1999" s="90">
        <f>G1999*AP1999</f>
        <v>0</v>
      </c>
      <c r="L1999" s="90">
        <f>G1999*H1999</f>
        <v>0</v>
      </c>
      <c r="M1999" s="90">
        <f>L1999*(1+BW1999/100)</f>
        <v>0</v>
      </c>
      <c r="N1999" s="90">
        <v>0</v>
      </c>
      <c r="O1999" s="90">
        <f>G1999*N1999</f>
        <v>0</v>
      </c>
      <c r="P1999" s="92" t="s">
        <v>64</v>
      </c>
      <c r="Z1999" s="93">
        <f>IF(AQ1999="5",BJ1999,0)</f>
        <v>0</v>
      </c>
      <c r="AB1999" s="93">
        <f>IF(AQ1999="1",BH1999,0)</f>
        <v>0</v>
      </c>
      <c r="AC1999" s="93">
        <f>IF(AQ1999="1",BI1999,0)</f>
        <v>0</v>
      </c>
      <c r="AD1999" s="93">
        <f>IF(AQ1999="7",BH1999,0)</f>
        <v>0</v>
      </c>
      <c r="AE1999" s="93">
        <f>IF(AQ1999="7",BI1999,0)</f>
        <v>0</v>
      </c>
      <c r="AF1999" s="93">
        <f>IF(AQ1999="2",BH1999,0)</f>
        <v>0</v>
      </c>
      <c r="AG1999" s="93">
        <f>IF(AQ1999="2",BI1999,0)</f>
        <v>0</v>
      </c>
      <c r="AH1999" s="93">
        <f>IF(AQ1999="0",BJ1999,0)</f>
        <v>0</v>
      </c>
      <c r="AI1999" s="88" t="s">
        <v>55</v>
      </c>
      <c r="AJ1999" s="93">
        <f>IF(AN1999=0,L1999,0)</f>
        <v>0</v>
      </c>
      <c r="AK1999" s="93">
        <f>IF(AN1999=12,L1999,0)</f>
        <v>0</v>
      </c>
      <c r="AL1999" s="93">
        <f>IF(AN1999=21,L1999,0)</f>
        <v>0</v>
      </c>
      <c r="AN1999" s="93">
        <v>21</v>
      </c>
      <c r="AO1999" s="93">
        <f>H1999*0</f>
        <v>0</v>
      </c>
      <c r="AP1999" s="93">
        <f>H1999*(1-0)</f>
        <v>0</v>
      </c>
      <c r="AQ1999" s="94" t="s">
        <v>136</v>
      </c>
      <c r="AV1999" s="93">
        <f>AW1999+AX1999</f>
        <v>0</v>
      </c>
      <c r="AW1999" s="93">
        <f>G1999*AO1999</f>
        <v>0</v>
      </c>
      <c r="AX1999" s="93">
        <f>G1999*AP1999</f>
        <v>0</v>
      </c>
      <c r="AY1999" s="94" t="s">
        <v>2510</v>
      </c>
      <c r="AZ1999" s="94" t="s">
        <v>2247</v>
      </c>
      <c r="BA1999" s="88" t="s">
        <v>67</v>
      </c>
      <c r="BC1999" s="93">
        <f>AW1999+AX1999</f>
        <v>0</v>
      </c>
      <c r="BD1999" s="93">
        <f>H1999/(100-BE1999)*100</f>
        <v>0</v>
      </c>
      <c r="BE1999" s="93">
        <v>0</v>
      </c>
      <c r="BF1999" s="93">
        <f>O1999</f>
        <v>0</v>
      </c>
      <c r="BH1999" s="93">
        <f>G1999*AO1999</f>
        <v>0</v>
      </c>
      <c r="BI1999" s="93">
        <f>G1999*AP1999</f>
        <v>0</v>
      </c>
      <c r="BJ1999" s="93">
        <f>G1999*H1999</f>
        <v>0</v>
      </c>
      <c r="BK1999" s="93"/>
      <c r="BL1999" s="93">
        <v>767</v>
      </c>
      <c r="BW1999" s="93" t="str">
        <f>I1999</f>
        <v>21</v>
      </c>
      <c r="BX1999" s="2" t="s">
        <v>2698</v>
      </c>
    </row>
    <row r="2000" spans="1:76" s="81" customFormat="1" x14ac:dyDescent="0.25">
      <c r="A2000" s="109" t="s">
        <v>54</v>
      </c>
      <c r="B2000" s="74" t="s">
        <v>55</v>
      </c>
      <c r="C2000" s="74" t="s">
        <v>2699</v>
      </c>
      <c r="D2000" s="180" t="s">
        <v>2700</v>
      </c>
      <c r="E2000" s="180"/>
      <c r="F2000" s="85" t="s">
        <v>4</v>
      </c>
      <c r="G2000" s="85" t="s">
        <v>4</v>
      </c>
      <c r="H2000" s="85" t="s">
        <v>4</v>
      </c>
      <c r="I2000" s="85" t="s">
        <v>4</v>
      </c>
      <c r="J2000" s="86">
        <f>SUM(J2001:J2032)</f>
        <v>0</v>
      </c>
      <c r="K2000" s="86">
        <f>SUM(K2001:K2032)</f>
        <v>0</v>
      </c>
      <c r="L2000" s="86">
        <f>SUM(L2001:L2032)</f>
        <v>0</v>
      </c>
      <c r="M2000" s="86">
        <f>SUM(M2001:M2032)</f>
        <v>0</v>
      </c>
      <c r="N2000" s="87" t="s">
        <v>54</v>
      </c>
      <c r="O2000" s="86">
        <f>SUM(O2001:O2032)</f>
        <v>4.6041713600000005</v>
      </c>
      <c r="P2000" s="87" t="s">
        <v>54</v>
      </c>
      <c r="AI2000" s="88" t="s">
        <v>55</v>
      </c>
      <c r="AS2000" s="89">
        <f>SUM(AJ2001:AJ2032)</f>
        <v>0</v>
      </c>
      <c r="AT2000" s="89">
        <f>SUM(AK2001:AK2032)</f>
        <v>0</v>
      </c>
      <c r="AU2000" s="89">
        <f>SUM(AL2001:AL2032)</f>
        <v>0</v>
      </c>
    </row>
    <row r="2001" spans="1:76" s="81" customFormat="1" ht="25.5" x14ac:dyDescent="0.25">
      <c r="A2001" s="66" t="s">
        <v>2716</v>
      </c>
      <c r="B2001" s="72" t="s">
        <v>55</v>
      </c>
      <c r="C2001" s="72" t="s">
        <v>2702</v>
      </c>
      <c r="D2001" s="174" t="s">
        <v>2703</v>
      </c>
      <c r="E2001" s="174"/>
      <c r="F2001" s="72" t="s">
        <v>192</v>
      </c>
      <c r="G2001" s="90">
        <v>162.6</v>
      </c>
      <c r="H2001" s="91"/>
      <c r="I2001" s="92" t="s">
        <v>63</v>
      </c>
      <c r="J2001" s="90">
        <f>G2001*AO2001</f>
        <v>0</v>
      </c>
      <c r="K2001" s="90">
        <f>G2001*AP2001</f>
        <v>0</v>
      </c>
      <c r="L2001" s="90">
        <f>G2001*H2001</f>
        <v>0</v>
      </c>
      <c r="M2001" s="90">
        <f>L2001*(1+BW2001/100)</f>
        <v>0</v>
      </c>
      <c r="N2001" s="90">
        <v>0</v>
      </c>
      <c r="O2001" s="90">
        <f>G2001*N2001</f>
        <v>0</v>
      </c>
      <c r="P2001" s="92" t="s">
        <v>64</v>
      </c>
      <c r="Z2001" s="93">
        <f>IF(AQ2001="5",BJ2001,0)</f>
        <v>0</v>
      </c>
      <c r="AB2001" s="93">
        <f>IF(AQ2001="1",BH2001,0)</f>
        <v>0</v>
      </c>
      <c r="AC2001" s="93">
        <f>IF(AQ2001="1",BI2001,0)</f>
        <v>0</v>
      </c>
      <c r="AD2001" s="93">
        <f>IF(AQ2001="7",BH2001,0)</f>
        <v>0</v>
      </c>
      <c r="AE2001" s="93">
        <f>IF(AQ2001="7",BI2001,0)</f>
        <v>0</v>
      </c>
      <c r="AF2001" s="93">
        <f>IF(AQ2001="2",BH2001,0)</f>
        <v>0</v>
      </c>
      <c r="AG2001" s="93">
        <f>IF(AQ2001="2",BI2001,0)</f>
        <v>0</v>
      </c>
      <c r="AH2001" s="93">
        <f>IF(AQ2001="0",BJ2001,0)</f>
        <v>0</v>
      </c>
      <c r="AI2001" s="88" t="s">
        <v>55</v>
      </c>
      <c r="AJ2001" s="93">
        <f>IF(AN2001=0,L2001,0)</f>
        <v>0</v>
      </c>
      <c r="AK2001" s="93">
        <f>IF(AN2001=12,L2001,0)</f>
        <v>0</v>
      </c>
      <c r="AL2001" s="93">
        <f>IF(AN2001=21,L2001,0)</f>
        <v>0</v>
      </c>
      <c r="AN2001" s="93">
        <v>21</v>
      </c>
      <c r="AO2001" s="93">
        <f>H2001*0</f>
        <v>0</v>
      </c>
      <c r="AP2001" s="93">
        <f>H2001*(1-0)</f>
        <v>0</v>
      </c>
      <c r="AQ2001" s="94" t="s">
        <v>148</v>
      </c>
      <c r="AV2001" s="93">
        <f>AW2001+AX2001</f>
        <v>0</v>
      </c>
      <c r="AW2001" s="93">
        <f>G2001*AO2001</f>
        <v>0</v>
      </c>
      <c r="AX2001" s="93">
        <f>G2001*AP2001</f>
        <v>0</v>
      </c>
      <c r="AY2001" s="94" t="s">
        <v>2704</v>
      </c>
      <c r="AZ2001" s="94" t="s">
        <v>2705</v>
      </c>
      <c r="BA2001" s="88" t="s">
        <v>67</v>
      </c>
      <c r="BC2001" s="93">
        <f>AW2001+AX2001</f>
        <v>0</v>
      </c>
      <c r="BD2001" s="93">
        <f>H2001/(100-BE2001)*100</f>
        <v>0</v>
      </c>
      <c r="BE2001" s="93">
        <v>0</v>
      </c>
      <c r="BF2001" s="93">
        <f>O2001</f>
        <v>0</v>
      </c>
      <c r="BH2001" s="93">
        <f>G2001*AO2001</f>
        <v>0</v>
      </c>
      <c r="BI2001" s="93">
        <f>G2001*AP2001</f>
        <v>0</v>
      </c>
      <c r="BJ2001" s="93">
        <f>G2001*H2001</f>
        <v>0</v>
      </c>
      <c r="BK2001" s="93"/>
      <c r="BL2001" s="93">
        <v>771</v>
      </c>
      <c r="BW2001" s="93" t="str">
        <f>I2001</f>
        <v>21</v>
      </c>
      <c r="BX2001" s="2" t="s">
        <v>2703</v>
      </c>
    </row>
    <row r="2002" spans="1:76" s="81" customFormat="1" x14ac:dyDescent="0.25">
      <c r="A2002" s="110"/>
      <c r="B2002" s="95"/>
      <c r="C2002" s="95"/>
      <c r="D2002" s="76" t="s">
        <v>2706</v>
      </c>
      <c r="E2002" s="76" t="s">
        <v>2707</v>
      </c>
      <c r="F2002" s="95"/>
      <c r="G2002" s="96">
        <v>162.6</v>
      </c>
      <c r="H2002" s="95"/>
      <c r="I2002" s="95"/>
      <c r="J2002" s="95"/>
      <c r="K2002" s="95"/>
      <c r="L2002" s="95"/>
      <c r="M2002" s="95"/>
      <c r="N2002" s="95"/>
      <c r="O2002" s="95"/>
      <c r="P2002" s="95"/>
    </row>
    <row r="2003" spans="1:76" s="81" customFormat="1" ht="25.5" x14ac:dyDescent="0.25">
      <c r="A2003" s="66" t="s">
        <v>2721</v>
      </c>
      <c r="B2003" s="72" t="s">
        <v>55</v>
      </c>
      <c r="C2003" s="72" t="s">
        <v>2709</v>
      </c>
      <c r="D2003" s="174" t="s">
        <v>2710</v>
      </c>
      <c r="E2003" s="174"/>
      <c r="F2003" s="72" t="s">
        <v>192</v>
      </c>
      <c r="G2003" s="90">
        <v>175.20349999999999</v>
      </c>
      <c r="H2003" s="91"/>
      <c r="I2003" s="92" t="s">
        <v>63</v>
      </c>
      <c r="J2003" s="90">
        <f>G2003*AO2003</f>
        <v>0</v>
      </c>
      <c r="K2003" s="90">
        <f>G2003*AP2003</f>
        <v>0</v>
      </c>
      <c r="L2003" s="90">
        <f>G2003*H2003</f>
        <v>0</v>
      </c>
      <c r="M2003" s="90">
        <f>L2003*(1+BW2003/100)</f>
        <v>0</v>
      </c>
      <c r="N2003" s="90">
        <v>2.1000000000000001E-4</v>
      </c>
      <c r="O2003" s="90">
        <f>G2003*N2003</f>
        <v>3.6792735E-2</v>
      </c>
      <c r="P2003" s="92" t="s">
        <v>64</v>
      </c>
      <c r="Z2003" s="93">
        <f>IF(AQ2003="5",BJ2003,0)</f>
        <v>0</v>
      </c>
      <c r="AB2003" s="93">
        <f>IF(AQ2003="1",BH2003,0)</f>
        <v>0</v>
      </c>
      <c r="AC2003" s="93">
        <f>IF(AQ2003="1",BI2003,0)</f>
        <v>0</v>
      </c>
      <c r="AD2003" s="93">
        <f>IF(AQ2003="7",BH2003,0)</f>
        <v>0</v>
      </c>
      <c r="AE2003" s="93">
        <f>IF(AQ2003="7",BI2003,0)</f>
        <v>0</v>
      </c>
      <c r="AF2003" s="93">
        <f>IF(AQ2003="2",BH2003,0)</f>
        <v>0</v>
      </c>
      <c r="AG2003" s="93">
        <f>IF(AQ2003="2",BI2003,0)</f>
        <v>0</v>
      </c>
      <c r="AH2003" s="93">
        <f>IF(AQ2003="0",BJ2003,0)</f>
        <v>0</v>
      </c>
      <c r="AI2003" s="88" t="s">
        <v>55</v>
      </c>
      <c r="AJ2003" s="93">
        <f>IF(AN2003=0,L2003,0)</f>
        <v>0</v>
      </c>
      <c r="AK2003" s="93">
        <f>IF(AN2003=12,L2003,0)</f>
        <v>0</v>
      </c>
      <c r="AL2003" s="93">
        <f>IF(AN2003=21,L2003,0)</f>
        <v>0</v>
      </c>
      <c r="AN2003" s="93">
        <v>21</v>
      </c>
      <c r="AO2003" s="93">
        <f>H2003*0.477365423</f>
        <v>0</v>
      </c>
      <c r="AP2003" s="93">
        <f>H2003*(1-0.477365423)</f>
        <v>0</v>
      </c>
      <c r="AQ2003" s="94" t="s">
        <v>148</v>
      </c>
      <c r="AV2003" s="93">
        <f>AW2003+AX2003</f>
        <v>0</v>
      </c>
      <c r="AW2003" s="93">
        <f>G2003*AO2003</f>
        <v>0</v>
      </c>
      <c r="AX2003" s="93">
        <f>G2003*AP2003</f>
        <v>0</v>
      </c>
      <c r="AY2003" s="94" t="s">
        <v>2704</v>
      </c>
      <c r="AZ2003" s="94" t="s">
        <v>2705</v>
      </c>
      <c r="BA2003" s="88" t="s">
        <v>67</v>
      </c>
      <c r="BC2003" s="93">
        <f>AW2003+AX2003</f>
        <v>0</v>
      </c>
      <c r="BD2003" s="93">
        <f>H2003/(100-BE2003)*100</f>
        <v>0</v>
      </c>
      <c r="BE2003" s="93">
        <v>0</v>
      </c>
      <c r="BF2003" s="93">
        <f>O2003</f>
        <v>3.6792735E-2</v>
      </c>
      <c r="BH2003" s="93">
        <f>G2003*AO2003</f>
        <v>0</v>
      </c>
      <c r="BI2003" s="93">
        <f>G2003*AP2003</f>
        <v>0</v>
      </c>
      <c r="BJ2003" s="93">
        <f>G2003*H2003</f>
        <v>0</v>
      </c>
      <c r="BK2003" s="93"/>
      <c r="BL2003" s="93">
        <v>771</v>
      </c>
      <c r="BW2003" s="93" t="str">
        <f>I2003</f>
        <v>21</v>
      </c>
      <c r="BX2003" s="2" t="s">
        <v>2710</v>
      </c>
    </row>
    <row r="2004" spans="1:76" s="81" customFormat="1" x14ac:dyDescent="0.25">
      <c r="A2004" s="110"/>
      <c r="B2004" s="95"/>
      <c r="C2004" s="95"/>
      <c r="D2004" s="76" t="s">
        <v>54</v>
      </c>
      <c r="E2004" s="76" t="s">
        <v>1116</v>
      </c>
      <c r="F2004" s="95"/>
      <c r="G2004" s="96">
        <v>0</v>
      </c>
      <c r="H2004" s="95"/>
      <c r="I2004" s="95"/>
      <c r="J2004" s="95"/>
      <c r="K2004" s="95"/>
      <c r="L2004" s="95"/>
      <c r="M2004" s="95"/>
      <c r="N2004" s="95"/>
      <c r="O2004" s="95"/>
      <c r="P2004" s="95"/>
    </row>
    <row r="2005" spans="1:76" s="81" customFormat="1" x14ac:dyDescent="0.25">
      <c r="A2005" s="110"/>
      <c r="B2005" s="95"/>
      <c r="C2005" s="95"/>
      <c r="D2005" s="76" t="s">
        <v>54</v>
      </c>
      <c r="E2005" s="76" t="s">
        <v>1103</v>
      </c>
      <c r="F2005" s="95"/>
      <c r="G2005" s="96">
        <v>0</v>
      </c>
      <c r="H2005" s="95"/>
      <c r="I2005" s="95"/>
      <c r="J2005" s="95"/>
      <c r="K2005" s="95"/>
      <c r="L2005" s="95"/>
      <c r="M2005" s="95"/>
      <c r="N2005" s="95"/>
      <c r="O2005" s="95"/>
      <c r="P2005" s="95"/>
    </row>
    <row r="2006" spans="1:76" s="81" customFormat="1" ht="25.5" x14ac:dyDescent="0.25">
      <c r="A2006" s="110"/>
      <c r="B2006" s="95"/>
      <c r="C2006" s="95"/>
      <c r="D2006" s="76" t="s">
        <v>1117</v>
      </c>
      <c r="E2006" s="76" t="s">
        <v>1118</v>
      </c>
      <c r="F2006" s="95"/>
      <c r="G2006" s="96">
        <v>118.3</v>
      </c>
      <c r="H2006" s="95"/>
      <c r="I2006" s="95"/>
      <c r="J2006" s="95"/>
      <c r="K2006" s="95"/>
      <c r="L2006" s="95"/>
      <c r="M2006" s="95"/>
      <c r="N2006" s="95"/>
      <c r="O2006" s="95"/>
      <c r="P2006" s="95"/>
    </row>
    <row r="2007" spans="1:76" s="81" customFormat="1" x14ac:dyDescent="0.25">
      <c r="A2007" s="110"/>
      <c r="B2007" s="95"/>
      <c r="C2007" s="95"/>
      <c r="D2007" s="76" t="s">
        <v>54</v>
      </c>
      <c r="E2007" s="76" t="s">
        <v>1119</v>
      </c>
      <c r="F2007" s="95"/>
      <c r="G2007" s="96">
        <v>0</v>
      </c>
      <c r="H2007" s="95"/>
      <c r="I2007" s="95"/>
      <c r="J2007" s="95"/>
      <c r="K2007" s="95"/>
      <c r="L2007" s="95"/>
      <c r="M2007" s="95"/>
      <c r="N2007" s="95"/>
      <c r="O2007" s="95"/>
      <c r="P2007" s="95"/>
    </row>
    <row r="2008" spans="1:76" s="81" customFormat="1" x14ac:dyDescent="0.25">
      <c r="A2008" s="110"/>
      <c r="B2008" s="95"/>
      <c r="C2008" s="95"/>
      <c r="D2008" s="76" t="s">
        <v>54</v>
      </c>
      <c r="E2008" s="76" t="s">
        <v>1106</v>
      </c>
      <c r="F2008" s="95"/>
      <c r="G2008" s="96">
        <v>0</v>
      </c>
      <c r="H2008" s="95"/>
      <c r="I2008" s="95"/>
      <c r="J2008" s="95"/>
      <c r="K2008" s="95"/>
      <c r="L2008" s="95"/>
      <c r="M2008" s="95"/>
      <c r="N2008" s="95"/>
      <c r="O2008" s="95"/>
      <c r="P2008" s="95"/>
    </row>
    <row r="2009" spans="1:76" s="81" customFormat="1" ht="25.5" x14ac:dyDescent="0.25">
      <c r="A2009" s="110"/>
      <c r="B2009" s="95"/>
      <c r="C2009" s="95"/>
      <c r="D2009" s="76" t="s">
        <v>1120</v>
      </c>
      <c r="E2009" s="76" t="s">
        <v>1121</v>
      </c>
      <c r="F2009" s="95"/>
      <c r="G2009" s="96">
        <v>44.3</v>
      </c>
      <c r="H2009" s="95"/>
      <c r="I2009" s="95"/>
      <c r="J2009" s="95"/>
      <c r="K2009" s="95"/>
      <c r="L2009" s="95"/>
      <c r="M2009" s="95"/>
      <c r="N2009" s="95"/>
      <c r="O2009" s="95"/>
      <c r="P2009" s="95"/>
    </row>
    <row r="2010" spans="1:76" s="81" customFormat="1" x14ac:dyDescent="0.25">
      <c r="A2010" s="110"/>
      <c r="B2010" s="95"/>
      <c r="C2010" s="95"/>
      <c r="D2010" s="76" t="s">
        <v>2711</v>
      </c>
      <c r="E2010" s="76" t="s">
        <v>2712</v>
      </c>
      <c r="F2010" s="95"/>
      <c r="G2010" s="96">
        <v>12.6035</v>
      </c>
      <c r="H2010" s="95"/>
      <c r="I2010" s="95"/>
      <c r="J2010" s="95"/>
      <c r="K2010" s="95"/>
      <c r="L2010" s="95"/>
      <c r="M2010" s="95"/>
      <c r="N2010" s="95"/>
      <c r="O2010" s="95"/>
      <c r="P2010" s="95"/>
    </row>
    <row r="2011" spans="1:76" s="81" customFormat="1" ht="25.5" x14ac:dyDescent="0.25">
      <c r="A2011" s="66" t="s">
        <v>2728</v>
      </c>
      <c r="B2011" s="72" t="s">
        <v>55</v>
      </c>
      <c r="C2011" s="72" t="s">
        <v>2714</v>
      </c>
      <c r="D2011" s="174" t="s">
        <v>2715</v>
      </c>
      <c r="E2011" s="174"/>
      <c r="F2011" s="72" t="s">
        <v>192</v>
      </c>
      <c r="G2011" s="90">
        <v>162.6</v>
      </c>
      <c r="H2011" s="91"/>
      <c r="I2011" s="92" t="s">
        <v>63</v>
      </c>
      <c r="J2011" s="90">
        <f>G2011*AO2011</f>
        <v>0</v>
      </c>
      <c r="K2011" s="90">
        <f>G2011*AP2011</f>
        <v>0</v>
      </c>
      <c r="L2011" s="90">
        <f>G2011*H2011</f>
        <v>0</v>
      </c>
      <c r="M2011" s="90">
        <f>L2011*(1+BW2011/100)</f>
        <v>0</v>
      </c>
      <c r="N2011" s="90">
        <v>2.8E-3</v>
      </c>
      <c r="O2011" s="90">
        <f>G2011*N2011</f>
        <v>0.45527999999999996</v>
      </c>
      <c r="P2011" s="92" t="s">
        <v>1647</v>
      </c>
      <c r="Z2011" s="93">
        <f>IF(AQ2011="5",BJ2011,0)</f>
        <v>0</v>
      </c>
      <c r="AB2011" s="93">
        <f>IF(AQ2011="1",BH2011,0)</f>
        <v>0</v>
      </c>
      <c r="AC2011" s="93">
        <f>IF(AQ2011="1",BI2011,0)</f>
        <v>0</v>
      </c>
      <c r="AD2011" s="93">
        <f>IF(AQ2011="7",BH2011,0)</f>
        <v>0</v>
      </c>
      <c r="AE2011" s="93">
        <f>IF(AQ2011="7",BI2011,0)</f>
        <v>0</v>
      </c>
      <c r="AF2011" s="93">
        <f>IF(AQ2011="2",BH2011,0)</f>
        <v>0</v>
      </c>
      <c r="AG2011" s="93">
        <f>IF(AQ2011="2",BI2011,0)</f>
        <v>0</v>
      </c>
      <c r="AH2011" s="93">
        <f>IF(AQ2011="0",BJ2011,0)</f>
        <v>0</v>
      </c>
      <c r="AI2011" s="88" t="s">
        <v>55</v>
      </c>
      <c r="AJ2011" s="93">
        <f>IF(AN2011=0,L2011,0)</f>
        <v>0</v>
      </c>
      <c r="AK2011" s="93">
        <f>IF(AN2011=12,L2011,0)</f>
        <v>0</v>
      </c>
      <c r="AL2011" s="93">
        <f>IF(AN2011=21,L2011,0)</f>
        <v>0</v>
      </c>
      <c r="AN2011" s="93">
        <v>21</v>
      </c>
      <c r="AO2011" s="93">
        <f>H2011*0.163211765</f>
        <v>0</v>
      </c>
      <c r="AP2011" s="93">
        <f>H2011*(1-0.163211765)</f>
        <v>0</v>
      </c>
      <c r="AQ2011" s="94" t="s">
        <v>148</v>
      </c>
      <c r="AV2011" s="93">
        <f>AW2011+AX2011</f>
        <v>0</v>
      </c>
      <c r="AW2011" s="93">
        <f>G2011*AO2011</f>
        <v>0</v>
      </c>
      <c r="AX2011" s="93">
        <f>G2011*AP2011</f>
        <v>0</v>
      </c>
      <c r="AY2011" s="94" t="s">
        <v>2704</v>
      </c>
      <c r="AZ2011" s="94" t="s">
        <v>2705</v>
      </c>
      <c r="BA2011" s="88" t="s">
        <v>67</v>
      </c>
      <c r="BC2011" s="93">
        <f>AW2011+AX2011</f>
        <v>0</v>
      </c>
      <c r="BD2011" s="93">
        <f>H2011/(100-BE2011)*100</f>
        <v>0</v>
      </c>
      <c r="BE2011" s="93">
        <v>0</v>
      </c>
      <c r="BF2011" s="93">
        <f>O2011</f>
        <v>0.45527999999999996</v>
      </c>
      <c r="BH2011" s="93">
        <f>G2011*AO2011</f>
        <v>0</v>
      </c>
      <c r="BI2011" s="93">
        <f>G2011*AP2011</f>
        <v>0</v>
      </c>
      <c r="BJ2011" s="93">
        <f>G2011*H2011</f>
        <v>0</v>
      </c>
      <c r="BK2011" s="93"/>
      <c r="BL2011" s="93">
        <v>771</v>
      </c>
      <c r="BW2011" s="93" t="str">
        <f>I2011</f>
        <v>21</v>
      </c>
      <c r="BX2011" s="2" t="s">
        <v>2715</v>
      </c>
    </row>
    <row r="2012" spans="1:76" s="81" customFormat="1" x14ac:dyDescent="0.25">
      <c r="A2012" s="110"/>
      <c r="B2012" s="95"/>
      <c r="C2012" s="95"/>
      <c r="D2012" s="76" t="s">
        <v>54</v>
      </c>
      <c r="E2012" s="76" t="s">
        <v>1116</v>
      </c>
      <c r="F2012" s="95"/>
      <c r="G2012" s="96">
        <v>0</v>
      </c>
      <c r="H2012" s="95"/>
      <c r="I2012" s="95"/>
      <c r="J2012" s="95"/>
      <c r="K2012" s="95"/>
      <c r="L2012" s="95"/>
      <c r="M2012" s="95"/>
      <c r="N2012" s="95"/>
      <c r="O2012" s="95"/>
      <c r="P2012" s="95"/>
    </row>
    <row r="2013" spans="1:76" s="81" customFormat="1" x14ac:dyDescent="0.25">
      <c r="A2013" s="110"/>
      <c r="B2013" s="95"/>
      <c r="C2013" s="95"/>
      <c r="D2013" s="76" t="s">
        <v>54</v>
      </c>
      <c r="E2013" s="76" t="s">
        <v>1103</v>
      </c>
      <c r="F2013" s="95"/>
      <c r="G2013" s="96">
        <v>0</v>
      </c>
      <c r="H2013" s="95"/>
      <c r="I2013" s="95"/>
      <c r="J2013" s="95"/>
      <c r="K2013" s="95"/>
      <c r="L2013" s="95"/>
      <c r="M2013" s="95"/>
      <c r="N2013" s="95"/>
      <c r="O2013" s="95"/>
      <c r="P2013" s="95"/>
    </row>
    <row r="2014" spans="1:76" s="81" customFormat="1" ht="25.5" x14ac:dyDescent="0.25">
      <c r="A2014" s="110"/>
      <c r="B2014" s="95"/>
      <c r="C2014" s="95"/>
      <c r="D2014" s="76" t="s">
        <v>1117</v>
      </c>
      <c r="E2014" s="76" t="s">
        <v>1118</v>
      </c>
      <c r="F2014" s="95"/>
      <c r="G2014" s="96">
        <v>118.3</v>
      </c>
      <c r="H2014" s="95"/>
      <c r="I2014" s="95"/>
      <c r="J2014" s="95"/>
      <c r="K2014" s="95"/>
      <c r="L2014" s="95"/>
      <c r="M2014" s="95"/>
      <c r="N2014" s="95"/>
      <c r="O2014" s="95"/>
      <c r="P2014" s="95"/>
    </row>
    <row r="2015" spans="1:76" s="81" customFormat="1" x14ac:dyDescent="0.25">
      <c r="A2015" s="110"/>
      <c r="B2015" s="95"/>
      <c r="C2015" s="95"/>
      <c r="D2015" s="76" t="s">
        <v>54</v>
      </c>
      <c r="E2015" s="76" t="s">
        <v>1119</v>
      </c>
      <c r="F2015" s="95"/>
      <c r="G2015" s="96">
        <v>0</v>
      </c>
      <c r="H2015" s="95"/>
      <c r="I2015" s="95"/>
      <c r="J2015" s="95"/>
      <c r="K2015" s="95"/>
      <c r="L2015" s="95"/>
      <c r="M2015" s="95"/>
      <c r="N2015" s="95"/>
      <c r="O2015" s="95"/>
      <c r="P2015" s="95"/>
    </row>
    <row r="2016" spans="1:76" s="81" customFormat="1" x14ac:dyDescent="0.25">
      <c r="A2016" s="110"/>
      <c r="B2016" s="95"/>
      <c r="C2016" s="95"/>
      <c r="D2016" s="76" t="s">
        <v>54</v>
      </c>
      <c r="E2016" s="76" t="s">
        <v>1106</v>
      </c>
      <c r="F2016" s="95"/>
      <c r="G2016" s="96">
        <v>0</v>
      </c>
      <c r="H2016" s="95"/>
      <c r="I2016" s="95"/>
      <c r="J2016" s="95"/>
      <c r="K2016" s="95"/>
      <c r="L2016" s="95"/>
      <c r="M2016" s="95"/>
      <c r="N2016" s="95"/>
      <c r="O2016" s="95"/>
      <c r="P2016" s="95"/>
    </row>
    <row r="2017" spans="1:76" s="81" customFormat="1" ht="25.5" x14ac:dyDescent="0.25">
      <c r="A2017" s="110"/>
      <c r="B2017" s="95"/>
      <c r="C2017" s="95"/>
      <c r="D2017" s="76" t="s">
        <v>1120</v>
      </c>
      <c r="E2017" s="76" t="s">
        <v>1121</v>
      </c>
      <c r="F2017" s="95"/>
      <c r="G2017" s="96">
        <v>44.3</v>
      </c>
      <c r="H2017" s="95"/>
      <c r="I2017" s="95"/>
      <c r="J2017" s="95"/>
      <c r="K2017" s="95"/>
      <c r="L2017" s="95"/>
      <c r="M2017" s="95"/>
      <c r="N2017" s="95"/>
      <c r="O2017" s="95"/>
      <c r="P2017" s="95"/>
    </row>
    <row r="2018" spans="1:76" s="81" customFormat="1" ht="25.5" x14ac:dyDescent="0.25">
      <c r="A2018" s="66" t="s">
        <v>2733</v>
      </c>
      <c r="B2018" s="72" t="s">
        <v>55</v>
      </c>
      <c r="C2018" s="72" t="s">
        <v>2717</v>
      </c>
      <c r="D2018" s="174" t="s">
        <v>2718</v>
      </c>
      <c r="E2018" s="174"/>
      <c r="F2018" s="72" t="s">
        <v>192</v>
      </c>
      <c r="G2018" s="90">
        <v>178.86</v>
      </c>
      <c r="H2018" s="91"/>
      <c r="I2018" s="92" t="s">
        <v>63</v>
      </c>
      <c r="J2018" s="90">
        <f>G2018*AO2018</f>
        <v>0</v>
      </c>
      <c r="K2018" s="90">
        <f>G2018*AP2018</f>
        <v>0</v>
      </c>
      <c r="L2018" s="90">
        <f>G2018*H2018</f>
        <v>0</v>
      </c>
      <c r="M2018" s="90">
        <f>L2018*(1+BW2018/100)</f>
        <v>0</v>
      </c>
      <c r="N2018" s="90">
        <v>1.4200000000000001E-2</v>
      </c>
      <c r="O2018" s="90">
        <f>G2018*N2018</f>
        <v>2.5398120000000004</v>
      </c>
      <c r="P2018" s="92" t="s">
        <v>2719</v>
      </c>
      <c r="Z2018" s="93">
        <f>IF(AQ2018="5",BJ2018,0)</f>
        <v>0</v>
      </c>
      <c r="AB2018" s="93">
        <f>IF(AQ2018="1",BH2018,0)</f>
        <v>0</v>
      </c>
      <c r="AC2018" s="93">
        <f>IF(AQ2018="1",BI2018,0)</f>
        <v>0</v>
      </c>
      <c r="AD2018" s="93">
        <f>IF(AQ2018="7",BH2018,0)</f>
        <v>0</v>
      </c>
      <c r="AE2018" s="93">
        <f>IF(AQ2018="7",BI2018,0)</f>
        <v>0</v>
      </c>
      <c r="AF2018" s="93">
        <f>IF(AQ2018="2",BH2018,0)</f>
        <v>0</v>
      </c>
      <c r="AG2018" s="93">
        <f>IF(AQ2018="2",BI2018,0)</f>
        <v>0</v>
      </c>
      <c r="AH2018" s="93">
        <f>IF(AQ2018="0",BJ2018,0)</f>
        <v>0</v>
      </c>
      <c r="AI2018" s="88" t="s">
        <v>55</v>
      </c>
      <c r="AJ2018" s="93">
        <f>IF(AN2018=0,L2018,0)</f>
        <v>0</v>
      </c>
      <c r="AK2018" s="93">
        <f>IF(AN2018=12,L2018,0)</f>
        <v>0</v>
      </c>
      <c r="AL2018" s="93">
        <f>IF(AN2018=21,L2018,0)</f>
        <v>0</v>
      </c>
      <c r="AN2018" s="93">
        <v>21</v>
      </c>
      <c r="AO2018" s="93">
        <f>H2018*1</f>
        <v>0</v>
      </c>
      <c r="AP2018" s="93">
        <f>H2018*(1-1)</f>
        <v>0</v>
      </c>
      <c r="AQ2018" s="94" t="s">
        <v>148</v>
      </c>
      <c r="AV2018" s="93">
        <f>AW2018+AX2018</f>
        <v>0</v>
      </c>
      <c r="AW2018" s="93">
        <f>G2018*AO2018</f>
        <v>0</v>
      </c>
      <c r="AX2018" s="93">
        <f>G2018*AP2018</f>
        <v>0</v>
      </c>
      <c r="AY2018" s="94" t="s">
        <v>2704</v>
      </c>
      <c r="AZ2018" s="94" t="s">
        <v>2705</v>
      </c>
      <c r="BA2018" s="88" t="s">
        <v>67</v>
      </c>
      <c r="BC2018" s="93">
        <f>AW2018+AX2018</f>
        <v>0</v>
      </c>
      <c r="BD2018" s="93">
        <f>H2018/(100-BE2018)*100</f>
        <v>0</v>
      </c>
      <c r="BE2018" s="93">
        <v>0</v>
      </c>
      <c r="BF2018" s="93">
        <f>O2018</f>
        <v>2.5398120000000004</v>
      </c>
      <c r="BH2018" s="93">
        <f>G2018*AO2018</f>
        <v>0</v>
      </c>
      <c r="BI2018" s="93">
        <f>G2018*AP2018</f>
        <v>0</v>
      </c>
      <c r="BJ2018" s="93">
        <f>G2018*H2018</f>
        <v>0</v>
      </c>
      <c r="BK2018" s="93"/>
      <c r="BL2018" s="93">
        <v>771</v>
      </c>
      <c r="BW2018" s="93" t="str">
        <f>I2018</f>
        <v>21</v>
      </c>
      <c r="BX2018" s="2" t="s">
        <v>2718</v>
      </c>
    </row>
    <row r="2019" spans="1:76" s="81" customFormat="1" x14ac:dyDescent="0.25">
      <c r="A2019" s="110"/>
      <c r="B2019" s="95"/>
      <c r="C2019" s="95"/>
      <c r="D2019" s="76" t="s">
        <v>2706</v>
      </c>
      <c r="E2019" s="76" t="s">
        <v>54</v>
      </c>
      <c r="F2019" s="95"/>
      <c r="G2019" s="96">
        <v>162.6</v>
      </c>
      <c r="H2019" s="95"/>
      <c r="I2019" s="95"/>
      <c r="J2019" s="95"/>
      <c r="K2019" s="95"/>
      <c r="L2019" s="95"/>
      <c r="M2019" s="95"/>
      <c r="N2019" s="95"/>
      <c r="O2019" s="95"/>
      <c r="P2019" s="95"/>
    </row>
    <row r="2020" spans="1:76" s="81" customFormat="1" x14ac:dyDescent="0.25">
      <c r="A2020" s="110"/>
      <c r="B2020" s="95"/>
      <c r="C2020" s="95"/>
      <c r="D2020" s="76" t="s">
        <v>2720</v>
      </c>
      <c r="E2020" s="76" t="s">
        <v>54</v>
      </c>
      <c r="F2020" s="95"/>
      <c r="G2020" s="96">
        <v>16.260000000000002</v>
      </c>
      <c r="H2020" s="95"/>
      <c r="I2020" s="95"/>
      <c r="J2020" s="95"/>
      <c r="K2020" s="95"/>
      <c r="L2020" s="95"/>
      <c r="M2020" s="95"/>
      <c r="N2020" s="95"/>
      <c r="O2020" s="95"/>
      <c r="P2020" s="95"/>
    </row>
    <row r="2021" spans="1:76" s="81" customFormat="1" ht="25.5" x14ac:dyDescent="0.25">
      <c r="A2021" s="66" t="s">
        <v>2738</v>
      </c>
      <c r="B2021" s="72" t="s">
        <v>55</v>
      </c>
      <c r="C2021" s="72" t="s">
        <v>2722</v>
      </c>
      <c r="D2021" s="174" t="s">
        <v>2723</v>
      </c>
      <c r="E2021" s="174"/>
      <c r="F2021" s="72" t="s">
        <v>213</v>
      </c>
      <c r="G2021" s="90">
        <v>126.035</v>
      </c>
      <c r="H2021" s="91"/>
      <c r="I2021" s="92" t="s">
        <v>63</v>
      </c>
      <c r="J2021" s="90">
        <f>G2021*AO2021</f>
        <v>0</v>
      </c>
      <c r="K2021" s="90">
        <f>G2021*AP2021</f>
        <v>0</v>
      </c>
      <c r="L2021" s="90">
        <f>G2021*H2021</f>
        <v>0</v>
      </c>
      <c r="M2021" s="90">
        <f>L2021*(1+BW2021/100)</f>
        <v>0</v>
      </c>
      <c r="N2021" s="90">
        <v>3.2000000000000003E-4</v>
      </c>
      <c r="O2021" s="90">
        <f>G2021*N2021</f>
        <v>4.0331200000000005E-2</v>
      </c>
      <c r="P2021" s="92" t="s">
        <v>64</v>
      </c>
      <c r="Z2021" s="93">
        <f>IF(AQ2021="5",BJ2021,0)</f>
        <v>0</v>
      </c>
      <c r="AB2021" s="93">
        <f>IF(AQ2021="1",BH2021,0)</f>
        <v>0</v>
      </c>
      <c r="AC2021" s="93">
        <f>IF(AQ2021="1",BI2021,0)</f>
        <v>0</v>
      </c>
      <c r="AD2021" s="93">
        <f>IF(AQ2021="7",BH2021,0)</f>
        <v>0</v>
      </c>
      <c r="AE2021" s="93">
        <f>IF(AQ2021="7",BI2021,0)</f>
        <v>0</v>
      </c>
      <c r="AF2021" s="93">
        <f>IF(AQ2021="2",BH2021,0)</f>
        <v>0</v>
      </c>
      <c r="AG2021" s="93">
        <f>IF(AQ2021="2",BI2021,0)</f>
        <v>0</v>
      </c>
      <c r="AH2021" s="93">
        <f>IF(AQ2021="0",BJ2021,0)</f>
        <v>0</v>
      </c>
      <c r="AI2021" s="88" t="s">
        <v>55</v>
      </c>
      <c r="AJ2021" s="93">
        <f>IF(AN2021=0,L2021,0)</f>
        <v>0</v>
      </c>
      <c r="AK2021" s="93">
        <f>IF(AN2021=12,L2021,0)</f>
        <v>0</v>
      </c>
      <c r="AL2021" s="93">
        <f>IF(AN2021=21,L2021,0)</f>
        <v>0</v>
      </c>
      <c r="AN2021" s="93">
        <v>21</v>
      </c>
      <c r="AO2021" s="93">
        <f>H2021*0.104563731</f>
        <v>0</v>
      </c>
      <c r="AP2021" s="93">
        <f>H2021*(1-0.104563731)</f>
        <v>0</v>
      </c>
      <c r="AQ2021" s="94" t="s">
        <v>148</v>
      </c>
      <c r="AV2021" s="93">
        <f>AW2021+AX2021</f>
        <v>0</v>
      </c>
      <c r="AW2021" s="93">
        <f>G2021*AO2021</f>
        <v>0</v>
      </c>
      <c r="AX2021" s="93">
        <f>G2021*AP2021</f>
        <v>0</v>
      </c>
      <c r="AY2021" s="94" t="s">
        <v>2704</v>
      </c>
      <c r="AZ2021" s="94" t="s">
        <v>2705</v>
      </c>
      <c r="BA2021" s="88" t="s">
        <v>67</v>
      </c>
      <c r="BC2021" s="93">
        <f>AW2021+AX2021</f>
        <v>0</v>
      </c>
      <c r="BD2021" s="93">
        <f>H2021/(100-BE2021)*100</f>
        <v>0</v>
      </c>
      <c r="BE2021" s="93">
        <v>0</v>
      </c>
      <c r="BF2021" s="93">
        <f>O2021</f>
        <v>4.0331200000000005E-2</v>
      </c>
      <c r="BH2021" s="93">
        <f>G2021*AO2021</f>
        <v>0</v>
      </c>
      <c r="BI2021" s="93">
        <f>G2021*AP2021</f>
        <v>0</v>
      </c>
      <c r="BJ2021" s="93">
        <f>G2021*H2021</f>
        <v>0</v>
      </c>
      <c r="BK2021" s="93"/>
      <c r="BL2021" s="93">
        <v>771</v>
      </c>
      <c r="BW2021" s="93" t="str">
        <f>I2021</f>
        <v>21</v>
      </c>
      <c r="BX2021" s="2" t="s">
        <v>2723</v>
      </c>
    </row>
    <row r="2022" spans="1:76" s="81" customFormat="1" x14ac:dyDescent="0.25">
      <c r="A2022" s="110"/>
      <c r="B2022" s="95"/>
      <c r="C2022" s="95"/>
      <c r="D2022" s="76" t="s">
        <v>54</v>
      </c>
      <c r="E2022" s="76" t="s">
        <v>1116</v>
      </c>
      <c r="F2022" s="95"/>
      <c r="G2022" s="96">
        <v>0</v>
      </c>
      <c r="H2022" s="95"/>
      <c r="I2022" s="95"/>
      <c r="J2022" s="95"/>
      <c r="K2022" s="95"/>
      <c r="L2022" s="95"/>
      <c r="M2022" s="95"/>
      <c r="N2022" s="95"/>
      <c r="O2022" s="95"/>
      <c r="P2022" s="95"/>
    </row>
    <row r="2023" spans="1:76" s="81" customFormat="1" x14ac:dyDescent="0.25">
      <c r="A2023" s="110"/>
      <c r="B2023" s="95"/>
      <c r="C2023" s="95"/>
      <c r="D2023" s="76" t="s">
        <v>54</v>
      </c>
      <c r="E2023" s="76" t="s">
        <v>2724</v>
      </c>
      <c r="F2023" s="95"/>
      <c r="G2023" s="96">
        <v>0</v>
      </c>
      <c r="H2023" s="95"/>
      <c r="I2023" s="95"/>
      <c r="J2023" s="95"/>
      <c r="K2023" s="95"/>
      <c r="L2023" s="95"/>
      <c r="M2023" s="95"/>
      <c r="N2023" s="95"/>
      <c r="O2023" s="95"/>
      <c r="P2023" s="95"/>
    </row>
    <row r="2024" spans="1:76" s="81" customFormat="1" x14ac:dyDescent="0.25">
      <c r="A2024" s="110"/>
      <c r="B2024" s="95"/>
      <c r="C2024" s="95"/>
      <c r="D2024" s="76" t="s">
        <v>2725</v>
      </c>
      <c r="E2024" s="76" t="s">
        <v>54</v>
      </c>
      <c r="F2024" s="95"/>
      <c r="G2024" s="96">
        <v>34.74</v>
      </c>
      <c r="H2024" s="95"/>
      <c r="I2024" s="95"/>
      <c r="J2024" s="95"/>
      <c r="K2024" s="95"/>
      <c r="L2024" s="95"/>
      <c r="M2024" s="95"/>
      <c r="N2024" s="95"/>
      <c r="O2024" s="95"/>
      <c r="P2024" s="95"/>
    </row>
    <row r="2025" spans="1:76" s="81" customFormat="1" ht="25.5" x14ac:dyDescent="0.25">
      <c r="A2025" s="110"/>
      <c r="B2025" s="95"/>
      <c r="C2025" s="95"/>
      <c r="D2025" s="76" t="s">
        <v>2726</v>
      </c>
      <c r="E2025" s="76" t="s">
        <v>54</v>
      </c>
      <c r="F2025" s="95"/>
      <c r="G2025" s="96">
        <v>56.63</v>
      </c>
      <c r="H2025" s="95"/>
      <c r="I2025" s="95"/>
      <c r="J2025" s="95"/>
      <c r="K2025" s="95"/>
      <c r="L2025" s="95"/>
      <c r="M2025" s="95"/>
      <c r="N2025" s="95"/>
      <c r="O2025" s="95"/>
      <c r="P2025" s="95"/>
    </row>
    <row r="2026" spans="1:76" s="81" customFormat="1" x14ac:dyDescent="0.25">
      <c r="A2026" s="110"/>
      <c r="B2026" s="95"/>
      <c r="C2026" s="95"/>
      <c r="D2026" s="76" t="s">
        <v>54</v>
      </c>
      <c r="E2026" s="76" t="s">
        <v>1119</v>
      </c>
      <c r="F2026" s="95"/>
      <c r="G2026" s="96">
        <v>0</v>
      </c>
      <c r="H2026" s="95"/>
      <c r="I2026" s="95"/>
      <c r="J2026" s="95"/>
      <c r="K2026" s="95"/>
      <c r="L2026" s="95"/>
      <c r="M2026" s="95"/>
      <c r="N2026" s="95"/>
      <c r="O2026" s="95"/>
      <c r="P2026" s="95"/>
    </row>
    <row r="2027" spans="1:76" s="81" customFormat="1" x14ac:dyDescent="0.25">
      <c r="A2027" s="110"/>
      <c r="B2027" s="95"/>
      <c r="C2027" s="95"/>
      <c r="D2027" s="76" t="s">
        <v>54</v>
      </c>
      <c r="E2027" s="76" t="s">
        <v>1106</v>
      </c>
      <c r="F2027" s="95"/>
      <c r="G2027" s="96">
        <v>0</v>
      </c>
      <c r="H2027" s="95"/>
      <c r="I2027" s="95"/>
      <c r="J2027" s="95"/>
      <c r="K2027" s="95"/>
      <c r="L2027" s="95"/>
      <c r="M2027" s="95"/>
      <c r="N2027" s="95"/>
      <c r="O2027" s="95"/>
      <c r="P2027" s="95"/>
    </row>
    <row r="2028" spans="1:76" s="81" customFormat="1" ht="25.5" x14ac:dyDescent="0.25">
      <c r="A2028" s="110"/>
      <c r="B2028" s="95"/>
      <c r="C2028" s="95"/>
      <c r="D2028" s="76" t="s">
        <v>2727</v>
      </c>
      <c r="E2028" s="76" t="s">
        <v>54</v>
      </c>
      <c r="F2028" s="95"/>
      <c r="G2028" s="96">
        <v>34.664999999999999</v>
      </c>
      <c r="H2028" s="95"/>
      <c r="I2028" s="95"/>
      <c r="J2028" s="95"/>
      <c r="K2028" s="95"/>
      <c r="L2028" s="95"/>
      <c r="M2028" s="95"/>
      <c r="N2028" s="95"/>
      <c r="O2028" s="95"/>
      <c r="P2028" s="95"/>
    </row>
    <row r="2029" spans="1:76" s="81" customFormat="1" ht="25.5" x14ac:dyDescent="0.25">
      <c r="A2029" s="66" t="s">
        <v>2745</v>
      </c>
      <c r="B2029" s="72" t="s">
        <v>55</v>
      </c>
      <c r="C2029" s="72" t="s">
        <v>2729</v>
      </c>
      <c r="D2029" s="174" t="s">
        <v>2730</v>
      </c>
      <c r="E2029" s="174"/>
      <c r="F2029" s="72" t="s">
        <v>213</v>
      </c>
      <c r="G2029" s="90">
        <v>138.63849999999999</v>
      </c>
      <c r="H2029" s="91"/>
      <c r="I2029" s="92" t="s">
        <v>63</v>
      </c>
      <c r="J2029" s="90">
        <f>G2029*AO2029</f>
        <v>0</v>
      </c>
      <c r="K2029" s="90">
        <f>G2029*AP2029</f>
        <v>0</v>
      </c>
      <c r="L2029" s="90">
        <f>G2029*H2029</f>
        <v>0</v>
      </c>
      <c r="M2029" s="90">
        <f>L2029*(1+BW2029/100)</f>
        <v>0</v>
      </c>
      <c r="N2029" s="90">
        <v>1.1050000000000001E-2</v>
      </c>
      <c r="O2029" s="90">
        <f>G2029*N2029</f>
        <v>1.531955425</v>
      </c>
      <c r="P2029" s="92" t="s">
        <v>578</v>
      </c>
      <c r="Z2029" s="93">
        <f>IF(AQ2029="5",BJ2029,0)</f>
        <v>0</v>
      </c>
      <c r="AB2029" s="93">
        <f>IF(AQ2029="1",BH2029,0)</f>
        <v>0</v>
      </c>
      <c r="AC2029" s="93">
        <f>IF(AQ2029="1",BI2029,0)</f>
        <v>0</v>
      </c>
      <c r="AD2029" s="93">
        <f>IF(AQ2029="7",BH2029,0)</f>
        <v>0</v>
      </c>
      <c r="AE2029" s="93">
        <f>IF(AQ2029="7",BI2029,0)</f>
        <v>0</v>
      </c>
      <c r="AF2029" s="93">
        <f>IF(AQ2029="2",BH2029,0)</f>
        <v>0</v>
      </c>
      <c r="AG2029" s="93">
        <f>IF(AQ2029="2",BI2029,0)</f>
        <v>0</v>
      </c>
      <c r="AH2029" s="93">
        <f>IF(AQ2029="0",BJ2029,0)</f>
        <v>0</v>
      </c>
      <c r="AI2029" s="88" t="s">
        <v>55</v>
      </c>
      <c r="AJ2029" s="93">
        <f>IF(AN2029=0,L2029,0)</f>
        <v>0</v>
      </c>
      <c r="AK2029" s="93">
        <f>IF(AN2029=12,L2029,0)</f>
        <v>0</v>
      </c>
      <c r="AL2029" s="93">
        <f>IF(AN2029=21,L2029,0)</f>
        <v>0</v>
      </c>
      <c r="AN2029" s="93">
        <v>21</v>
      </c>
      <c r="AO2029" s="93">
        <f>H2029*1</f>
        <v>0</v>
      </c>
      <c r="AP2029" s="93">
        <f>H2029*(1-1)</f>
        <v>0</v>
      </c>
      <c r="AQ2029" s="94" t="s">
        <v>148</v>
      </c>
      <c r="AV2029" s="93">
        <f>AW2029+AX2029</f>
        <v>0</v>
      </c>
      <c r="AW2029" s="93">
        <f>G2029*AO2029</f>
        <v>0</v>
      </c>
      <c r="AX2029" s="93">
        <f>G2029*AP2029</f>
        <v>0</v>
      </c>
      <c r="AY2029" s="94" t="s">
        <v>2704</v>
      </c>
      <c r="AZ2029" s="94" t="s">
        <v>2705</v>
      </c>
      <c r="BA2029" s="88" t="s">
        <v>67</v>
      </c>
      <c r="BC2029" s="93">
        <f>AW2029+AX2029</f>
        <v>0</v>
      </c>
      <c r="BD2029" s="93">
        <f>H2029/(100-BE2029)*100</f>
        <v>0</v>
      </c>
      <c r="BE2029" s="93">
        <v>0</v>
      </c>
      <c r="BF2029" s="93">
        <f>O2029</f>
        <v>1.531955425</v>
      </c>
      <c r="BH2029" s="93">
        <f>G2029*AO2029</f>
        <v>0</v>
      </c>
      <c r="BI2029" s="93">
        <f>G2029*AP2029</f>
        <v>0</v>
      </c>
      <c r="BJ2029" s="93">
        <f>G2029*H2029</f>
        <v>0</v>
      </c>
      <c r="BK2029" s="93"/>
      <c r="BL2029" s="93">
        <v>771</v>
      </c>
      <c r="BW2029" s="93" t="str">
        <f>I2029</f>
        <v>21</v>
      </c>
      <c r="BX2029" s="2" t="s">
        <v>2730</v>
      </c>
    </row>
    <row r="2030" spans="1:76" s="81" customFormat="1" x14ac:dyDescent="0.25">
      <c r="A2030" s="110"/>
      <c r="B2030" s="95"/>
      <c r="C2030" s="95"/>
      <c r="D2030" s="76" t="s">
        <v>2731</v>
      </c>
      <c r="E2030" s="76" t="s">
        <v>54</v>
      </c>
      <c r="F2030" s="95"/>
      <c r="G2030" s="96">
        <v>126.035</v>
      </c>
      <c r="H2030" s="95"/>
      <c r="I2030" s="95"/>
      <c r="J2030" s="95"/>
      <c r="K2030" s="95"/>
      <c r="L2030" s="95"/>
      <c r="M2030" s="95"/>
      <c r="N2030" s="95"/>
      <c r="O2030" s="95"/>
      <c r="P2030" s="95"/>
    </row>
    <row r="2031" spans="1:76" s="81" customFormat="1" x14ac:dyDescent="0.25">
      <c r="A2031" s="110"/>
      <c r="B2031" s="95"/>
      <c r="C2031" s="95"/>
      <c r="D2031" s="76" t="s">
        <v>2732</v>
      </c>
      <c r="E2031" s="76" t="s">
        <v>54</v>
      </c>
      <c r="F2031" s="95"/>
      <c r="G2031" s="96">
        <v>12.6035</v>
      </c>
      <c r="H2031" s="95"/>
      <c r="I2031" s="95"/>
      <c r="J2031" s="95"/>
      <c r="K2031" s="95"/>
      <c r="L2031" s="95"/>
      <c r="M2031" s="95"/>
      <c r="N2031" s="95"/>
      <c r="O2031" s="95"/>
      <c r="P2031" s="95"/>
    </row>
    <row r="2032" spans="1:76" s="81" customFormat="1" ht="25.5" x14ac:dyDescent="0.25">
      <c r="A2032" s="66" t="s">
        <v>2748</v>
      </c>
      <c r="B2032" s="72" t="s">
        <v>55</v>
      </c>
      <c r="C2032" s="72" t="s">
        <v>2734</v>
      </c>
      <c r="D2032" s="174" t="s">
        <v>2735</v>
      </c>
      <c r="E2032" s="174"/>
      <c r="F2032" s="72" t="s">
        <v>1447</v>
      </c>
      <c r="G2032" s="91"/>
      <c r="H2032" s="91"/>
      <c r="I2032" s="92" t="s">
        <v>63</v>
      </c>
      <c r="J2032" s="90">
        <f>G2032*AO2032</f>
        <v>0</v>
      </c>
      <c r="K2032" s="90">
        <f>G2032*AP2032</f>
        <v>0</v>
      </c>
      <c r="L2032" s="90">
        <f>G2032*H2032</f>
        <v>0</v>
      </c>
      <c r="M2032" s="90">
        <f>L2032*(1+BW2032/100)</f>
        <v>0</v>
      </c>
      <c r="N2032" s="90">
        <v>0</v>
      </c>
      <c r="O2032" s="90">
        <f>G2032*N2032</f>
        <v>0</v>
      </c>
      <c r="P2032" s="92" t="s">
        <v>64</v>
      </c>
      <c r="Z2032" s="93">
        <f>IF(AQ2032="5",BJ2032,0)</f>
        <v>0</v>
      </c>
      <c r="AB2032" s="93">
        <f>IF(AQ2032="1",BH2032,0)</f>
        <v>0</v>
      </c>
      <c r="AC2032" s="93">
        <f>IF(AQ2032="1",BI2032,0)</f>
        <v>0</v>
      </c>
      <c r="AD2032" s="93">
        <f>IF(AQ2032="7",BH2032,0)</f>
        <v>0</v>
      </c>
      <c r="AE2032" s="93">
        <f>IF(AQ2032="7",BI2032,0)</f>
        <v>0</v>
      </c>
      <c r="AF2032" s="93">
        <f>IF(AQ2032="2",BH2032,0)</f>
        <v>0</v>
      </c>
      <c r="AG2032" s="93">
        <f>IF(AQ2032="2",BI2032,0)</f>
        <v>0</v>
      </c>
      <c r="AH2032" s="93">
        <f>IF(AQ2032="0",BJ2032,0)</f>
        <v>0</v>
      </c>
      <c r="AI2032" s="88" t="s">
        <v>55</v>
      </c>
      <c r="AJ2032" s="93">
        <f>IF(AN2032=0,L2032,0)</f>
        <v>0</v>
      </c>
      <c r="AK2032" s="93">
        <f>IF(AN2032=12,L2032,0)</f>
        <v>0</v>
      </c>
      <c r="AL2032" s="93">
        <f>IF(AN2032=21,L2032,0)</f>
        <v>0</v>
      </c>
      <c r="AN2032" s="93">
        <v>21</v>
      </c>
      <c r="AO2032" s="93">
        <f>H2032*0</f>
        <v>0</v>
      </c>
      <c r="AP2032" s="93">
        <f>H2032*(1-0)</f>
        <v>0</v>
      </c>
      <c r="AQ2032" s="94" t="s">
        <v>136</v>
      </c>
      <c r="AV2032" s="93">
        <f>AW2032+AX2032</f>
        <v>0</v>
      </c>
      <c r="AW2032" s="93">
        <f>G2032*AO2032</f>
        <v>0</v>
      </c>
      <c r="AX2032" s="93">
        <f>G2032*AP2032</f>
        <v>0</v>
      </c>
      <c r="AY2032" s="94" t="s">
        <v>2704</v>
      </c>
      <c r="AZ2032" s="94" t="s">
        <v>2705</v>
      </c>
      <c r="BA2032" s="88" t="s">
        <v>67</v>
      </c>
      <c r="BC2032" s="93">
        <f>AW2032+AX2032</f>
        <v>0</v>
      </c>
      <c r="BD2032" s="93">
        <f>H2032/(100-BE2032)*100</f>
        <v>0</v>
      </c>
      <c r="BE2032" s="93">
        <v>0</v>
      </c>
      <c r="BF2032" s="93">
        <f>O2032</f>
        <v>0</v>
      </c>
      <c r="BH2032" s="93">
        <f>G2032*AO2032</f>
        <v>0</v>
      </c>
      <c r="BI2032" s="93">
        <f>G2032*AP2032</f>
        <v>0</v>
      </c>
      <c r="BJ2032" s="93">
        <f>G2032*H2032</f>
        <v>0</v>
      </c>
      <c r="BK2032" s="93"/>
      <c r="BL2032" s="93">
        <v>771</v>
      </c>
      <c r="BW2032" s="93" t="str">
        <f>I2032</f>
        <v>21</v>
      </c>
      <c r="BX2032" s="2" t="s">
        <v>2735</v>
      </c>
    </row>
    <row r="2033" spans="1:76" s="81" customFormat="1" x14ac:dyDescent="0.25">
      <c r="A2033" s="109" t="s">
        <v>54</v>
      </c>
      <c r="B2033" s="74" t="s">
        <v>55</v>
      </c>
      <c r="C2033" s="74" t="s">
        <v>2736</v>
      </c>
      <c r="D2033" s="180" t="s">
        <v>2737</v>
      </c>
      <c r="E2033" s="180"/>
      <c r="F2033" s="85" t="s">
        <v>4</v>
      </c>
      <c r="G2033" s="85" t="s">
        <v>4</v>
      </c>
      <c r="H2033" s="85" t="s">
        <v>4</v>
      </c>
      <c r="I2033" s="85" t="s">
        <v>4</v>
      </c>
      <c r="J2033" s="86">
        <f>SUM(J2034:J2102)</f>
        <v>0</v>
      </c>
      <c r="K2033" s="86">
        <f>SUM(K2034:K2102)</f>
        <v>0</v>
      </c>
      <c r="L2033" s="86">
        <f>SUM(L2034:L2102)</f>
        <v>0</v>
      </c>
      <c r="M2033" s="86">
        <f>SUM(M2034:M2102)</f>
        <v>0</v>
      </c>
      <c r="N2033" s="87" t="s">
        <v>54</v>
      </c>
      <c r="O2033" s="86">
        <f>SUM(O2034:O2102)</f>
        <v>1.8996763569999999</v>
      </c>
      <c r="P2033" s="87" t="s">
        <v>54</v>
      </c>
      <c r="AI2033" s="88" t="s">
        <v>55</v>
      </c>
      <c r="AS2033" s="89">
        <f>SUM(AJ2034:AJ2102)</f>
        <v>0</v>
      </c>
      <c r="AT2033" s="89">
        <f>SUM(AK2034:AK2102)</f>
        <v>0</v>
      </c>
      <c r="AU2033" s="89">
        <f>SUM(AL2034:AL2102)</f>
        <v>0</v>
      </c>
    </row>
    <row r="2034" spans="1:76" s="81" customFormat="1" ht="25.5" x14ac:dyDescent="0.25">
      <c r="A2034" s="66" t="s">
        <v>2751</v>
      </c>
      <c r="B2034" s="72" t="s">
        <v>55</v>
      </c>
      <c r="C2034" s="72" t="s">
        <v>2709</v>
      </c>
      <c r="D2034" s="174" t="s">
        <v>2739</v>
      </c>
      <c r="E2034" s="174"/>
      <c r="F2034" s="72" t="s">
        <v>192</v>
      </c>
      <c r="G2034" s="90">
        <v>648.33109999999999</v>
      </c>
      <c r="H2034" s="91"/>
      <c r="I2034" s="103">
        <v>21</v>
      </c>
      <c r="J2034" s="90">
        <f>ROUND(G2034*AO2034,2)</f>
        <v>0</v>
      </c>
      <c r="K2034" s="90">
        <f>ROUND(G2034*AP2034,2)</f>
        <v>0</v>
      </c>
      <c r="L2034" s="90">
        <f>ROUND(G2034*H2034,2)</f>
        <v>0</v>
      </c>
      <c r="M2034" s="90">
        <f>L2034*(1+BW2034/100)</f>
        <v>0</v>
      </c>
      <c r="N2034" s="90">
        <v>2.1000000000000001E-4</v>
      </c>
      <c r="O2034" s="90">
        <f>G2034*N2034</f>
        <v>0.13614953099999999</v>
      </c>
      <c r="P2034" s="92" t="s">
        <v>64</v>
      </c>
      <c r="Z2034" s="93">
        <f>ROUND(IF(AQ2034="5",BJ2034,0),2)</f>
        <v>0</v>
      </c>
      <c r="AB2034" s="93">
        <f>ROUND(IF(AQ2034="1",BH2034,0),2)</f>
        <v>0</v>
      </c>
      <c r="AC2034" s="93">
        <f>ROUND(IF(AQ2034="1",BI2034,0),2)</f>
        <v>0</v>
      </c>
      <c r="AD2034" s="93">
        <f>ROUND(IF(AQ2034="7",BH2034,0),2)</f>
        <v>0</v>
      </c>
      <c r="AE2034" s="93">
        <f>ROUND(IF(AQ2034="7",BI2034,0),2)</f>
        <v>0</v>
      </c>
      <c r="AF2034" s="93">
        <f>ROUND(IF(AQ2034="2",BH2034,0),2)</f>
        <v>0</v>
      </c>
      <c r="AG2034" s="93">
        <f>ROUND(IF(AQ2034="2",BI2034,0),2)</f>
        <v>0</v>
      </c>
      <c r="AH2034" s="93">
        <f>ROUND(IF(AQ2034="0",BJ2034,0),2)</f>
        <v>0</v>
      </c>
      <c r="AI2034" s="88" t="s">
        <v>55</v>
      </c>
      <c r="AJ2034" s="93">
        <f>IF(AN2034=0,L2034,0)</f>
        <v>0</v>
      </c>
      <c r="AK2034" s="93">
        <f>IF(AN2034=12,L2034,0)</f>
        <v>0</v>
      </c>
      <c r="AL2034" s="93">
        <f>IF(AN2034=21,L2034,0)</f>
        <v>0</v>
      </c>
      <c r="AN2034" s="93">
        <v>21</v>
      </c>
      <c r="AO2034" s="93">
        <f>H2034*0.477365464</f>
        <v>0</v>
      </c>
      <c r="AP2034" s="93">
        <f>H2034*(1-0.477365464)</f>
        <v>0</v>
      </c>
      <c r="AQ2034" s="94" t="s">
        <v>148</v>
      </c>
      <c r="AV2034" s="93">
        <f>ROUND(AW2034+AX2034,2)</f>
        <v>0</v>
      </c>
      <c r="AW2034" s="93">
        <f>ROUND(G2034*AO2034,2)</f>
        <v>0</v>
      </c>
      <c r="AX2034" s="93">
        <f>ROUND(G2034*AP2034,2)</f>
        <v>0</v>
      </c>
      <c r="AY2034" s="94" t="s">
        <v>2740</v>
      </c>
      <c r="AZ2034" s="94" t="s">
        <v>2705</v>
      </c>
      <c r="BA2034" s="88" t="s">
        <v>67</v>
      </c>
      <c r="BC2034" s="93">
        <f>AW2034+AX2034</f>
        <v>0</v>
      </c>
      <c r="BD2034" s="93">
        <f>H2034/(100-BE2034)*100</f>
        <v>0</v>
      </c>
      <c r="BE2034" s="93">
        <v>0</v>
      </c>
      <c r="BF2034" s="93">
        <f>O2034</f>
        <v>0.13614953099999999</v>
      </c>
      <c r="BH2034" s="93">
        <f>G2034*AO2034</f>
        <v>0</v>
      </c>
      <c r="BI2034" s="93">
        <f>G2034*AP2034</f>
        <v>0</v>
      </c>
      <c r="BJ2034" s="93">
        <f>G2034*H2034</f>
        <v>0</v>
      </c>
      <c r="BK2034" s="93"/>
      <c r="BL2034" s="93">
        <v>776</v>
      </c>
      <c r="BW2034" s="93">
        <f>I2034</f>
        <v>21</v>
      </c>
      <c r="BX2034" s="2" t="s">
        <v>2739</v>
      </c>
    </row>
    <row r="2035" spans="1:76" s="81" customFormat="1" x14ac:dyDescent="0.25">
      <c r="A2035" s="110"/>
      <c r="B2035" s="95"/>
      <c r="C2035" s="95"/>
      <c r="D2035" s="76" t="s">
        <v>54</v>
      </c>
      <c r="E2035" s="76" t="s">
        <v>1102</v>
      </c>
      <c r="F2035" s="95"/>
      <c r="G2035" s="96">
        <v>0</v>
      </c>
      <c r="H2035" s="97"/>
      <c r="I2035" s="95"/>
      <c r="J2035" s="95"/>
      <c r="K2035" s="95"/>
      <c r="L2035" s="95"/>
      <c r="M2035" s="95"/>
      <c r="N2035" s="95"/>
      <c r="O2035" s="95"/>
      <c r="P2035" s="95"/>
    </row>
    <row r="2036" spans="1:76" s="81" customFormat="1" x14ac:dyDescent="0.25">
      <c r="A2036" s="110"/>
      <c r="B2036" s="95"/>
      <c r="C2036" s="95"/>
      <c r="D2036" s="76" t="s">
        <v>54</v>
      </c>
      <c r="E2036" s="76" t="s">
        <v>1103</v>
      </c>
      <c r="F2036" s="95"/>
      <c r="G2036" s="96">
        <v>0</v>
      </c>
      <c r="H2036" s="97"/>
      <c r="I2036" s="95"/>
      <c r="J2036" s="95"/>
      <c r="K2036" s="95"/>
      <c r="L2036" s="95"/>
      <c r="M2036" s="95"/>
      <c r="N2036" s="95"/>
      <c r="O2036" s="95"/>
      <c r="P2036" s="95"/>
    </row>
    <row r="2037" spans="1:76" s="81" customFormat="1" ht="25.5" x14ac:dyDescent="0.25">
      <c r="A2037" s="110"/>
      <c r="B2037" s="95"/>
      <c r="C2037" s="95"/>
      <c r="D2037" s="76" t="s">
        <v>4306</v>
      </c>
      <c r="E2037" s="76" t="s">
        <v>1104</v>
      </c>
      <c r="F2037" s="95"/>
      <c r="G2037" s="96">
        <v>242</v>
      </c>
      <c r="H2037" s="97"/>
      <c r="I2037" s="95"/>
      <c r="J2037" s="95"/>
      <c r="K2037" s="95"/>
      <c r="L2037" s="95"/>
      <c r="M2037" s="95"/>
      <c r="N2037" s="95"/>
      <c r="O2037" s="95"/>
      <c r="P2037" s="95"/>
    </row>
    <row r="2038" spans="1:76" s="81" customFormat="1" x14ac:dyDescent="0.25">
      <c r="A2038" s="110"/>
      <c r="B2038" s="95"/>
      <c r="C2038" s="95"/>
      <c r="D2038" s="76" t="s">
        <v>4309</v>
      </c>
      <c r="E2038" s="76" t="s">
        <v>4310</v>
      </c>
      <c r="F2038" s="95"/>
      <c r="G2038" s="96">
        <v>6.1379999999999999</v>
      </c>
      <c r="H2038" s="97"/>
      <c r="I2038" s="95"/>
      <c r="J2038" s="95"/>
      <c r="K2038" s="95"/>
      <c r="L2038" s="95"/>
      <c r="M2038" s="95"/>
      <c r="N2038" s="95"/>
      <c r="O2038" s="95"/>
      <c r="P2038" s="95"/>
    </row>
    <row r="2039" spans="1:76" s="81" customFormat="1" x14ac:dyDescent="0.25">
      <c r="A2039" s="110"/>
      <c r="B2039" s="95"/>
      <c r="C2039" s="95"/>
      <c r="D2039" s="76" t="s">
        <v>54</v>
      </c>
      <c r="E2039" s="76" t="s">
        <v>1105</v>
      </c>
      <c r="F2039" s="95"/>
      <c r="G2039" s="96">
        <v>0</v>
      </c>
      <c r="H2039" s="97"/>
      <c r="I2039" s="95"/>
      <c r="J2039" s="95"/>
      <c r="K2039" s="95"/>
      <c r="L2039" s="95"/>
      <c r="M2039" s="95"/>
      <c r="N2039" s="95"/>
      <c r="O2039" s="95"/>
      <c r="P2039" s="95"/>
    </row>
    <row r="2040" spans="1:76" s="81" customFormat="1" x14ac:dyDescent="0.25">
      <c r="A2040" s="110"/>
      <c r="B2040" s="95"/>
      <c r="C2040" s="95"/>
      <c r="D2040" s="76" t="s">
        <v>54</v>
      </c>
      <c r="E2040" s="76" t="s">
        <v>1106</v>
      </c>
      <c r="F2040" s="95"/>
      <c r="G2040" s="96">
        <v>0</v>
      </c>
      <c r="H2040" s="97"/>
      <c r="I2040" s="95"/>
      <c r="J2040" s="95"/>
      <c r="K2040" s="95"/>
      <c r="L2040" s="95"/>
      <c r="M2040" s="95"/>
      <c r="N2040" s="95"/>
      <c r="O2040" s="95"/>
      <c r="P2040" s="95"/>
    </row>
    <row r="2041" spans="1:76" s="81" customFormat="1" ht="25.5" x14ac:dyDescent="0.25">
      <c r="A2041" s="110"/>
      <c r="B2041" s="95"/>
      <c r="C2041" s="95"/>
      <c r="D2041" s="76" t="s">
        <v>2741</v>
      </c>
      <c r="E2041" s="76" t="s">
        <v>2742</v>
      </c>
      <c r="F2041" s="95"/>
      <c r="G2041" s="96">
        <v>21.687999999999999</v>
      </c>
      <c r="H2041" s="97"/>
      <c r="I2041" s="95"/>
      <c r="J2041" s="95"/>
      <c r="K2041" s="95"/>
      <c r="L2041" s="95"/>
      <c r="M2041" s="95"/>
      <c r="N2041" s="95"/>
      <c r="O2041" s="95"/>
      <c r="P2041" s="95"/>
    </row>
    <row r="2042" spans="1:76" s="81" customFormat="1" ht="25.5" x14ac:dyDescent="0.25">
      <c r="A2042" s="110"/>
      <c r="B2042" s="95"/>
      <c r="C2042" s="95"/>
      <c r="D2042" s="76" t="s">
        <v>1109</v>
      </c>
      <c r="E2042" s="76" t="s">
        <v>1110</v>
      </c>
      <c r="F2042" s="95"/>
      <c r="G2042" s="96">
        <v>330.5</v>
      </c>
      <c r="H2042" s="97"/>
      <c r="I2042" s="95"/>
      <c r="J2042" s="95"/>
      <c r="K2042" s="95"/>
      <c r="L2042" s="95"/>
      <c r="M2042" s="95"/>
      <c r="N2042" s="95"/>
      <c r="O2042" s="95"/>
      <c r="P2042" s="95"/>
    </row>
    <row r="2043" spans="1:76" s="81" customFormat="1" ht="25.5" x14ac:dyDescent="0.25">
      <c r="A2043" s="110"/>
      <c r="B2043" s="95"/>
      <c r="C2043" s="95"/>
      <c r="D2043" s="76" t="s">
        <v>54</v>
      </c>
      <c r="E2043" s="76" t="s">
        <v>2743</v>
      </c>
      <c r="F2043" s="95"/>
      <c r="G2043" s="96">
        <v>0</v>
      </c>
      <c r="H2043" s="97"/>
      <c r="I2043" s="95"/>
      <c r="J2043" s="95"/>
      <c r="K2043" s="95"/>
      <c r="L2043" s="95"/>
      <c r="M2043" s="95"/>
      <c r="N2043" s="95"/>
      <c r="O2043" s="95"/>
      <c r="P2043" s="95"/>
    </row>
    <row r="2044" spans="1:76" s="81" customFormat="1" x14ac:dyDescent="0.25">
      <c r="A2044" s="110"/>
      <c r="B2044" s="95"/>
      <c r="C2044" s="95"/>
      <c r="D2044" s="76" t="s">
        <v>2744</v>
      </c>
      <c r="E2044" s="76" t="s">
        <v>54</v>
      </c>
      <c r="F2044" s="95"/>
      <c r="G2044" s="96">
        <v>48.005099999999999</v>
      </c>
      <c r="H2044" s="97"/>
      <c r="I2044" s="95"/>
      <c r="J2044" s="95"/>
      <c r="K2044" s="95"/>
      <c r="L2044" s="95"/>
      <c r="M2044" s="95"/>
      <c r="N2044" s="95"/>
      <c r="O2044" s="95"/>
      <c r="P2044" s="95"/>
    </row>
    <row r="2045" spans="1:76" s="81" customFormat="1" ht="25.5" x14ac:dyDescent="0.25">
      <c r="A2045" s="66" t="s">
        <v>2756</v>
      </c>
      <c r="B2045" s="72" t="s">
        <v>55</v>
      </c>
      <c r="C2045" s="72" t="s">
        <v>2746</v>
      </c>
      <c r="D2045" s="174" t="s">
        <v>2747</v>
      </c>
      <c r="E2045" s="174"/>
      <c r="F2045" s="72" t="s">
        <v>192</v>
      </c>
      <c r="G2045" s="90">
        <v>583.25199999999995</v>
      </c>
      <c r="H2045" s="91"/>
      <c r="I2045" s="103">
        <v>21</v>
      </c>
      <c r="J2045" s="90">
        <f>ROUND(G2045*AO2045,2)</f>
        <v>0</v>
      </c>
      <c r="K2045" s="90">
        <f>ROUND(G2045*AP2045,2)</f>
        <v>0</v>
      </c>
      <c r="L2045" s="90">
        <f>ROUND(G2045*H2045,2)</f>
        <v>0</v>
      </c>
      <c r="M2045" s="90">
        <f>L2045*(1+BW2045/100)</f>
        <v>0</v>
      </c>
      <c r="N2045" s="90">
        <v>2.5000000000000001E-4</v>
      </c>
      <c r="O2045" s="90">
        <f>G2045*N2045</f>
        <v>0.145813</v>
      </c>
      <c r="P2045" s="92" t="s">
        <v>64</v>
      </c>
      <c r="Z2045" s="93">
        <f>ROUND(IF(AQ2045="5",BJ2045,0),2)</f>
        <v>0</v>
      </c>
      <c r="AB2045" s="93">
        <f>ROUND(IF(AQ2045="1",BH2045,0),2)</f>
        <v>0</v>
      </c>
      <c r="AC2045" s="93">
        <f>ROUND(IF(AQ2045="1",BI2045,0),2)</f>
        <v>0</v>
      </c>
      <c r="AD2045" s="93">
        <f>ROUND(IF(AQ2045="7",BH2045,0),2)</f>
        <v>0</v>
      </c>
      <c r="AE2045" s="93">
        <f>ROUND(IF(AQ2045="7",BI2045,0),2)</f>
        <v>0</v>
      </c>
      <c r="AF2045" s="93">
        <f>ROUND(IF(AQ2045="2",BH2045,0),2)</f>
        <v>0</v>
      </c>
      <c r="AG2045" s="93">
        <f>ROUND(IF(AQ2045="2",BI2045,0),2)</f>
        <v>0</v>
      </c>
      <c r="AH2045" s="93">
        <f>ROUND(IF(AQ2045="0",BJ2045,0),2)</f>
        <v>0</v>
      </c>
      <c r="AI2045" s="88" t="s">
        <v>55</v>
      </c>
      <c r="AJ2045" s="93">
        <f>IF(AN2045=0,L2045,0)</f>
        <v>0</v>
      </c>
      <c r="AK2045" s="93">
        <f>IF(AN2045=12,L2045,0)</f>
        <v>0</v>
      </c>
      <c r="AL2045" s="93">
        <f>IF(AN2045=21,L2045,0)</f>
        <v>0</v>
      </c>
      <c r="AN2045" s="93">
        <v>21</v>
      </c>
      <c r="AO2045" s="93">
        <f>H2045*0.313877967</f>
        <v>0</v>
      </c>
      <c r="AP2045" s="93">
        <f>H2045*(1-0.313877967)</f>
        <v>0</v>
      </c>
      <c r="AQ2045" s="94" t="s">
        <v>148</v>
      </c>
      <c r="AV2045" s="93">
        <f>ROUND(AW2045+AX2045,2)</f>
        <v>0</v>
      </c>
      <c r="AW2045" s="93">
        <f>ROUND(G2045*AO2045,2)</f>
        <v>0</v>
      </c>
      <c r="AX2045" s="93">
        <f>ROUND(G2045*AP2045,2)</f>
        <v>0</v>
      </c>
      <c r="AY2045" s="94" t="s">
        <v>2740</v>
      </c>
      <c r="AZ2045" s="94" t="s">
        <v>2705</v>
      </c>
      <c r="BA2045" s="88" t="s">
        <v>67</v>
      </c>
      <c r="BC2045" s="93">
        <f>AW2045+AX2045</f>
        <v>0</v>
      </c>
      <c r="BD2045" s="93">
        <f>H2045/(100-BE2045)*100</f>
        <v>0</v>
      </c>
      <c r="BE2045" s="93">
        <v>0</v>
      </c>
      <c r="BF2045" s="93">
        <f>O2045</f>
        <v>0.145813</v>
      </c>
      <c r="BH2045" s="93">
        <f>G2045*AO2045</f>
        <v>0</v>
      </c>
      <c r="BI2045" s="93">
        <f>G2045*AP2045</f>
        <v>0</v>
      </c>
      <c r="BJ2045" s="93">
        <f>G2045*H2045</f>
        <v>0</v>
      </c>
      <c r="BK2045" s="93"/>
      <c r="BL2045" s="93">
        <v>776</v>
      </c>
      <c r="BW2045" s="93">
        <f>I2045</f>
        <v>21</v>
      </c>
      <c r="BX2045" s="2" t="s">
        <v>2747</v>
      </c>
    </row>
    <row r="2046" spans="1:76" s="81" customFormat="1" x14ac:dyDescent="0.25">
      <c r="A2046" s="110"/>
      <c r="B2046" s="95"/>
      <c r="C2046" s="95"/>
      <c r="D2046" s="76" t="s">
        <v>54</v>
      </c>
      <c r="E2046" s="76" t="s">
        <v>1102</v>
      </c>
      <c r="F2046" s="95"/>
      <c r="G2046" s="96">
        <v>0</v>
      </c>
      <c r="H2046" s="97"/>
      <c r="I2046" s="95"/>
      <c r="J2046" s="95"/>
      <c r="K2046" s="95"/>
      <c r="L2046" s="95"/>
      <c r="M2046" s="95"/>
      <c r="N2046" s="95"/>
      <c r="O2046" s="95"/>
      <c r="P2046" s="95"/>
    </row>
    <row r="2047" spans="1:76" s="81" customFormat="1" x14ac:dyDescent="0.25">
      <c r="A2047" s="110"/>
      <c r="B2047" s="95"/>
      <c r="C2047" s="95"/>
      <c r="D2047" s="76" t="s">
        <v>54</v>
      </c>
      <c r="E2047" s="76" t="s">
        <v>1103</v>
      </c>
      <c r="F2047" s="95"/>
      <c r="G2047" s="96">
        <v>0</v>
      </c>
      <c r="H2047" s="97"/>
      <c r="I2047" s="95"/>
      <c r="J2047" s="95"/>
      <c r="K2047" s="95"/>
      <c r="L2047" s="95"/>
      <c r="M2047" s="95"/>
      <c r="N2047" s="95"/>
      <c r="O2047" s="95"/>
      <c r="P2047" s="95"/>
    </row>
    <row r="2048" spans="1:76" s="81" customFormat="1" ht="25.5" x14ac:dyDescent="0.25">
      <c r="A2048" s="110"/>
      <c r="B2048" s="95"/>
      <c r="C2048" s="95"/>
      <c r="D2048" s="76" t="s">
        <v>4306</v>
      </c>
      <c r="E2048" s="76" t="s">
        <v>1104</v>
      </c>
      <c r="F2048" s="95"/>
      <c r="G2048" s="96">
        <v>242</v>
      </c>
      <c r="H2048" s="97"/>
      <c r="I2048" s="95"/>
      <c r="J2048" s="95"/>
      <c r="K2048" s="95"/>
      <c r="L2048" s="95"/>
      <c r="M2048" s="95"/>
      <c r="N2048" s="95"/>
      <c r="O2048" s="95"/>
      <c r="P2048" s="95"/>
    </row>
    <row r="2049" spans="1:76" s="81" customFormat="1" x14ac:dyDescent="0.25">
      <c r="A2049" s="110"/>
      <c r="B2049" s="95"/>
      <c r="C2049" s="95"/>
      <c r="D2049" s="76" t="s">
        <v>4311</v>
      </c>
      <c r="E2049" s="76" t="s">
        <v>4310</v>
      </c>
      <c r="F2049" s="95"/>
      <c r="G2049" s="96">
        <v>1.44</v>
      </c>
      <c r="H2049" s="97"/>
      <c r="I2049" s="95"/>
      <c r="J2049" s="95"/>
      <c r="K2049" s="95"/>
      <c r="L2049" s="95"/>
      <c r="M2049" s="95"/>
      <c r="N2049" s="95"/>
      <c r="O2049" s="95"/>
      <c r="P2049" s="95"/>
    </row>
    <row r="2050" spans="1:76" s="81" customFormat="1" x14ac:dyDescent="0.25">
      <c r="A2050" s="110"/>
      <c r="B2050" s="95"/>
      <c r="C2050" s="95"/>
      <c r="D2050" s="76" t="s">
        <v>54</v>
      </c>
      <c r="E2050" s="76" t="s">
        <v>1105</v>
      </c>
      <c r="F2050" s="95"/>
      <c r="G2050" s="96">
        <v>0</v>
      </c>
      <c r="H2050" s="97"/>
      <c r="I2050" s="95"/>
      <c r="J2050" s="95"/>
      <c r="K2050" s="95"/>
      <c r="L2050" s="95"/>
      <c r="M2050" s="95"/>
      <c r="N2050" s="95"/>
      <c r="O2050" s="95"/>
      <c r="P2050" s="95"/>
    </row>
    <row r="2051" spans="1:76" s="81" customFormat="1" x14ac:dyDescent="0.25">
      <c r="A2051" s="110"/>
      <c r="B2051" s="95"/>
      <c r="C2051" s="95"/>
      <c r="D2051" s="76" t="s">
        <v>54</v>
      </c>
      <c r="E2051" s="76" t="s">
        <v>1106</v>
      </c>
      <c r="F2051" s="95"/>
      <c r="G2051" s="96">
        <v>0</v>
      </c>
      <c r="H2051" s="97"/>
      <c r="I2051" s="95"/>
      <c r="J2051" s="95"/>
      <c r="K2051" s="95"/>
      <c r="L2051" s="95"/>
      <c r="M2051" s="95"/>
      <c r="N2051" s="95"/>
      <c r="O2051" s="95"/>
      <c r="P2051" s="95"/>
    </row>
    <row r="2052" spans="1:76" s="81" customFormat="1" x14ac:dyDescent="0.25">
      <c r="A2052" s="110"/>
      <c r="B2052" s="95"/>
      <c r="C2052" s="95"/>
      <c r="D2052" s="76" t="s">
        <v>1114</v>
      </c>
      <c r="E2052" s="76" t="s">
        <v>1115</v>
      </c>
      <c r="F2052" s="95"/>
      <c r="G2052" s="96">
        <v>9.3119999999999994</v>
      </c>
      <c r="H2052" s="97"/>
      <c r="I2052" s="95"/>
      <c r="J2052" s="95"/>
      <c r="K2052" s="95"/>
      <c r="L2052" s="95"/>
      <c r="M2052" s="95"/>
      <c r="N2052" s="95"/>
      <c r="O2052" s="95"/>
      <c r="P2052" s="95"/>
    </row>
    <row r="2053" spans="1:76" s="81" customFormat="1" ht="25.5" x14ac:dyDescent="0.25">
      <c r="A2053" s="110"/>
      <c r="B2053" s="95"/>
      <c r="C2053" s="95"/>
      <c r="D2053" s="76" t="s">
        <v>1109</v>
      </c>
      <c r="E2053" s="76" t="s">
        <v>1110</v>
      </c>
      <c r="F2053" s="95"/>
      <c r="G2053" s="96">
        <v>330.5</v>
      </c>
      <c r="H2053" s="97"/>
      <c r="I2053" s="95"/>
      <c r="J2053" s="95"/>
      <c r="K2053" s="95"/>
      <c r="L2053" s="95"/>
      <c r="M2053" s="95"/>
      <c r="N2053" s="95"/>
      <c r="O2053" s="95"/>
      <c r="P2053" s="95"/>
    </row>
    <row r="2054" spans="1:76" s="81" customFormat="1" ht="25.5" x14ac:dyDescent="0.25">
      <c r="A2054" s="66" t="s">
        <v>2759</v>
      </c>
      <c r="B2054" s="72" t="s">
        <v>55</v>
      </c>
      <c r="C2054" s="72" t="s">
        <v>2749</v>
      </c>
      <c r="D2054" s="174" t="s">
        <v>2750</v>
      </c>
      <c r="E2054" s="174"/>
      <c r="F2054" s="72" t="s">
        <v>192</v>
      </c>
      <c r="G2054" s="90">
        <v>641.57719999999995</v>
      </c>
      <c r="H2054" s="91"/>
      <c r="I2054" s="103">
        <v>21</v>
      </c>
      <c r="J2054" s="90">
        <f>ROUND(G2054*AO2054,2)</f>
        <v>0</v>
      </c>
      <c r="K2054" s="90">
        <f>ROUND(G2054*AP2054,2)</f>
        <v>0</v>
      </c>
      <c r="L2054" s="90">
        <f>ROUND(G2054*H2054,2)</f>
        <v>0</v>
      </c>
      <c r="M2054" s="90">
        <f>L2054*(1+BW2054/100)</f>
        <v>0</v>
      </c>
      <c r="N2054" s="90">
        <v>2.3600000000000001E-3</v>
      </c>
      <c r="O2054" s="90">
        <f>G2054*N2054</f>
        <v>1.5141221919999999</v>
      </c>
      <c r="P2054" s="92" t="s">
        <v>578</v>
      </c>
      <c r="Z2054" s="93">
        <f>ROUND(IF(AQ2054="5",BJ2054,0),2)</f>
        <v>0</v>
      </c>
      <c r="AB2054" s="93">
        <f>ROUND(IF(AQ2054="1",BH2054,0),2)</f>
        <v>0</v>
      </c>
      <c r="AC2054" s="93">
        <f>ROUND(IF(AQ2054="1",BI2054,0),2)</f>
        <v>0</v>
      </c>
      <c r="AD2054" s="93">
        <f>ROUND(IF(AQ2054="7",BH2054,0),2)</f>
        <v>0</v>
      </c>
      <c r="AE2054" s="93">
        <f>ROUND(IF(AQ2054="7",BI2054,0),2)</f>
        <v>0</v>
      </c>
      <c r="AF2054" s="93">
        <f>ROUND(IF(AQ2054="2",BH2054,0),2)</f>
        <v>0</v>
      </c>
      <c r="AG2054" s="93">
        <f>ROUND(IF(AQ2054="2",BI2054,0),2)</f>
        <v>0</v>
      </c>
      <c r="AH2054" s="93">
        <f>ROUND(IF(AQ2054="0",BJ2054,0),2)</f>
        <v>0</v>
      </c>
      <c r="AI2054" s="88" t="s">
        <v>55</v>
      </c>
      <c r="AJ2054" s="93">
        <f>IF(AN2054=0,L2054,0)</f>
        <v>0</v>
      </c>
      <c r="AK2054" s="93">
        <f>IF(AN2054=12,L2054,0)</f>
        <v>0</v>
      </c>
      <c r="AL2054" s="93">
        <f>IF(AN2054=21,L2054,0)</f>
        <v>0</v>
      </c>
      <c r="AN2054" s="93">
        <v>21</v>
      </c>
      <c r="AO2054" s="93">
        <f>H2054*1</f>
        <v>0</v>
      </c>
      <c r="AP2054" s="93">
        <f>H2054*(1-1)</f>
        <v>0</v>
      </c>
      <c r="AQ2054" s="94" t="s">
        <v>148</v>
      </c>
      <c r="AV2054" s="93">
        <f>ROUND(AW2054+AX2054,2)</f>
        <v>0</v>
      </c>
      <c r="AW2054" s="93">
        <f>ROUND(G2054*AO2054,2)</f>
        <v>0</v>
      </c>
      <c r="AX2054" s="93">
        <f>ROUND(G2054*AP2054,2)</f>
        <v>0</v>
      </c>
      <c r="AY2054" s="94" t="s">
        <v>2740</v>
      </c>
      <c r="AZ2054" s="94" t="s">
        <v>2705</v>
      </c>
      <c r="BA2054" s="88" t="s">
        <v>67</v>
      </c>
      <c r="BC2054" s="93">
        <f>AW2054+AX2054</f>
        <v>0</v>
      </c>
      <c r="BD2054" s="93">
        <f>H2054/(100-BE2054)*100</f>
        <v>0</v>
      </c>
      <c r="BE2054" s="93">
        <v>0</v>
      </c>
      <c r="BF2054" s="93">
        <f>O2054</f>
        <v>1.5141221919999999</v>
      </c>
      <c r="BH2054" s="93">
        <f>G2054*AO2054</f>
        <v>0</v>
      </c>
      <c r="BI2054" s="93">
        <f>G2054*AP2054</f>
        <v>0</v>
      </c>
      <c r="BJ2054" s="93">
        <f>G2054*H2054</f>
        <v>0</v>
      </c>
      <c r="BK2054" s="93"/>
      <c r="BL2054" s="93">
        <v>776</v>
      </c>
      <c r="BW2054" s="93">
        <f>I2054</f>
        <v>21</v>
      </c>
      <c r="BX2054" s="2" t="s">
        <v>2750</v>
      </c>
    </row>
    <row r="2055" spans="1:76" s="81" customFormat="1" x14ac:dyDescent="0.25">
      <c r="A2055" s="110"/>
      <c r="B2055" s="95"/>
      <c r="C2055" s="95"/>
      <c r="D2055" s="76" t="s">
        <v>4312</v>
      </c>
      <c r="E2055" s="76" t="s">
        <v>54</v>
      </c>
      <c r="F2055" s="95"/>
      <c r="G2055" s="96">
        <v>583.25199999999995</v>
      </c>
      <c r="H2055" s="97"/>
      <c r="I2055" s="95"/>
      <c r="J2055" s="95"/>
      <c r="K2055" s="95"/>
      <c r="L2055" s="95"/>
      <c r="M2055" s="95"/>
      <c r="N2055" s="95"/>
      <c r="O2055" s="95"/>
      <c r="P2055" s="95"/>
    </row>
    <row r="2056" spans="1:76" s="81" customFormat="1" x14ac:dyDescent="0.25">
      <c r="A2056" s="110"/>
      <c r="B2056" s="95"/>
      <c r="C2056" s="95"/>
      <c r="D2056" s="76" t="s">
        <v>4313</v>
      </c>
      <c r="E2056" s="76" t="s">
        <v>54</v>
      </c>
      <c r="F2056" s="95"/>
      <c r="G2056" s="96">
        <v>58.325200000000002</v>
      </c>
      <c r="H2056" s="97"/>
      <c r="I2056" s="95"/>
      <c r="J2056" s="95"/>
      <c r="K2056" s="95"/>
      <c r="L2056" s="95"/>
      <c r="M2056" s="95"/>
      <c r="N2056" s="95"/>
      <c r="O2056" s="95"/>
      <c r="P2056" s="95"/>
    </row>
    <row r="2057" spans="1:76" s="81" customFormat="1" ht="25.5" x14ac:dyDescent="0.25">
      <c r="A2057" s="66" t="s">
        <v>2761</v>
      </c>
      <c r="B2057" s="72" t="s">
        <v>55</v>
      </c>
      <c r="C2057" s="72" t="s">
        <v>2752</v>
      </c>
      <c r="D2057" s="174" t="s">
        <v>2753</v>
      </c>
      <c r="E2057" s="174"/>
      <c r="F2057" s="72" t="s">
        <v>213</v>
      </c>
      <c r="G2057" s="90">
        <v>38.799999999999997</v>
      </c>
      <c r="H2057" s="91"/>
      <c r="I2057" s="103">
        <v>21</v>
      </c>
      <c r="J2057" s="90">
        <f>ROUND(G2057*AO2057,2)</f>
        <v>0</v>
      </c>
      <c r="K2057" s="90">
        <f>ROUND(G2057*AP2057,2)</f>
        <v>0</v>
      </c>
      <c r="L2057" s="90">
        <f>ROUND(G2057*H2057,2)</f>
        <v>0</v>
      </c>
      <c r="M2057" s="90">
        <f>L2057*(1+BW2057/100)</f>
        <v>0</v>
      </c>
      <c r="N2057" s="90">
        <v>9.0000000000000006E-5</v>
      </c>
      <c r="O2057" s="90">
        <f>G2057*N2057</f>
        <v>3.4919999999999999E-3</v>
      </c>
      <c r="P2057" s="92" t="s">
        <v>64</v>
      </c>
      <c r="Z2057" s="93">
        <f>ROUND(IF(AQ2057="5",BJ2057,0),2)</f>
        <v>0</v>
      </c>
      <c r="AB2057" s="93">
        <f>ROUND(IF(AQ2057="1",BH2057,0),2)</f>
        <v>0</v>
      </c>
      <c r="AC2057" s="93">
        <f>ROUND(IF(AQ2057="1",BI2057,0),2)</f>
        <v>0</v>
      </c>
      <c r="AD2057" s="93">
        <f>ROUND(IF(AQ2057="7",BH2057,0),2)</f>
        <v>0</v>
      </c>
      <c r="AE2057" s="93">
        <f>ROUND(IF(AQ2057="7",BI2057,0),2)</f>
        <v>0</v>
      </c>
      <c r="AF2057" s="93">
        <f>ROUND(IF(AQ2057="2",BH2057,0),2)</f>
        <v>0</v>
      </c>
      <c r="AG2057" s="93">
        <f>ROUND(IF(AQ2057="2",BI2057,0),2)</f>
        <v>0</v>
      </c>
      <c r="AH2057" s="93">
        <f>ROUND(IF(AQ2057="0",BJ2057,0),2)</f>
        <v>0</v>
      </c>
      <c r="AI2057" s="88" t="s">
        <v>55</v>
      </c>
      <c r="AJ2057" s="93">
        <f>IF(AN2057=0,L2057,0)</f>
        <v>0</v>
      </c>
      <c r="AK2057" s="93">
        <f>IF(AN2057=12,L2057,0)</f>
        <v>0</v>
      </c>
      <c r="AL2057" s="93">
        <f>IF(AN2057=21,L2057,0)</f>
        <v>0</v>
      </c>
      <c r="AN2057" s="93">
        <v>21</v>
      </c>
      <c r="AO2057" s="93">
        <f>H2057*0.132662315</f>
        <v>0</v>
      </c>
      <c r="AP2057" s="93">
        <f>H2057*(1-0.132662315)</f>
        <v>0</v>
      </c>
      <c r="AQ2057" s="94" t="s">
        <v>148</v>
      </c>
      <c r="AV2057" s="93">
        <f>ROUND(AW2057+AX2057,2)</f>
        <v>0</v>
      </c>
      <c r="AW2057" s="93">
        <f>ROUND(G2057*AO2057,2)</f>
        <v>0</v>
      </c>
      <c r="AX2057" s="93">
        <f>ROUND(G2057*AP2057,2)</f>
        <v>0</v>
      </c>
      <c r="AY2057" s="94" t="s">
        <v>2740</v>
      </c>
      <c r="AZ2057" s="94" t="s">
        <v>2705</v>
      </c>
      <c r="BA2057" s="88" t="s">
        <v>67</v>
      </c>
      <c r="BC2057" s="93">
        <f>AW2057+AX2057</f>
        <v>0</v>
      </c>
      <c r="BD2057" s="93">
        <f>H2057/(100-BE2057)*100</f>
        <v>0</v>
      </c>
      <c r="BE2057" s="93">
        <v>0</v>
      </c>
      <c r="BF2057" s="93">
        <f>O2057</f>
        <v>3.4919999999999999E-3</v>
      </c>
      <c r="BH2057" s="93">
        <f>G2057*AO2057</f>
        <v>0</v>
      </c>
      <c r="BI2057" s="93">
        <f>G2057*AP2057</f>
        <v>0</v>
      </c>
      <c r="BJ2057" s="93">
        <f>G2057*H2057</f>
        <v>0</v>
      </c>
      <c r="BK2057" s="93"/>
      <c r="BL2057" s="93">
        <v>776</v>
      </c>
      <c r="BW2057" s="93">
        <f>I2057</f>
        <v>21</v>
      </c>
      <c r="BX2057" s="2" t="s">
        <v>2753</v>
      </c>
    </row>
    <row r="2058" spans="1:76" s="81" customFormat="1" x14ac:dyDescent="0.25">
      <c r="A2058" s="110"/>
      <c r="B2058" s="95"/>
      <c r="C2058" s="95"/>
      <c r="D2058" s="76" t="s">
        <v>54</v>
      </c>
      <c r="E2058" s="76" t="s">
        <v>1105</v>
      </c>
      <c r="F2058" s="95"/>
      <c r="G2058" s="96">
        <v>0</v>
      </c>
      <c r="H2058" s="97"/>
      <c r="I2058" s="95"/>
      <c r="J2058" s="95"/>
      <c r="K2058" s="95"/>
      <c r="L2058" s="95"/>
      <c r="M2058" s="95"/>
      <c r="N2058" s="95"/>
      <c r="O2058" s="95"/>
      <c r="P2058" s="95"/>
    </row>
    <row r="2059" spans="1:76" s="81" customFormat="1" x14ac:dyDescent="0.25">
      <c r="A2059" s="110"/>
      <c r="B2059" s="95"/>
      <c r="C2059" s="95"/>
      <c r="D2059" s="76" t="s">
        <v>54</v>
      </c>
      <c r="E2059" s="76" t="s">
        <v>2754</v>
      </c>
      <c r="F2059" s="95"/>
      <c r="G2059" s="96">
        <v>0</v>
      </c>
      <c r="H2059" s="97"/>
      <c r="I2059" s="95"/>
      <c r="J2059" s="95"/>
      <c r="K2059" s="95"/>
      <c r="L2059" s="95"/>
      <c r="M2059" s="95"/>
      <c r="N2059" s="95"/>
      <c r="O2059" s="95"/>
      <c r="P2059" s="95"/>
    </row>
    <row r="2060" spans="1:76" s="81" customFormat="1" x14ac:dyDescent="0.25">
      <c r="A2060" s="110"/>
      <c r="B2060" s="95"/>
      <c r="C2060" s="95"/>
      <c r="D2060" s="76" t="s">
        <v>2755</v>
      </c>
      <c r="E2060" s="76" t="s">
        <v>54</v>
      </c>
      <c r="F2060" s="95"/>
      <c r="G2060" s="96">
        <v>28</v>
      </c>
      <c r="H2060" s="97"/>
      <c r="I2060" s="95"/>
      <c r="J2060" s="95"/>
      <c r="K2060" s="95"/>
      <c r="L2060" s="95"/>
      <c r="M2060" s="95"/>
      <c r="N2060" s="95"/>
      <c r="O2060" s="95"/>
      <c r="P2060" s="95"/>
    </row>
    <row r="2061" spans="1:76" s="81" customFormat="1" x14ac:dyDescent="0.25">
      <c r="A2061" s="110"/>
      <c r="B2061" s="95"/>
      <c r="C2061" s="95"/>
      <c r="D2061" s="76" t="s">
        <v>4314</v>
      </c>
      <c r="E2061" s="76" t="s">
        <v>4315</v>
      </c>
      <c r="F2061" s="95"/>
      <c r="G2061" s="96">
        <v>10.8</v>
      </c>
      <c r="H2061" s="97"/>
      <c r="I2061" s="95"/>
      <c r="J2061" s="95"/>
      <c r="K2061" s="95"/>
      <c r="L2061" s="95"/>
      <c r="M2061" s="95"/>
      <c r="N2061" s="95"/>
      <c r="O2061" s="95"/>
      <c r="P2061" s="95"/>
    </row>
    <row r="2062" spans="1:76" s="81" customFormat="1" ht="25.5" x14ac:dyDescent="0.25">
      <c r="A2062" s="66" t="s">
        <v>2766</v>
      </c>
      <c r="B2062" s="72" t="s">
        <v>55</v>
      </c>
      <c r="C2062" s="72" t="s">
        <v>2757</v>
      </c>
      <c r="D2062" s="174" t="s">
        <v>2758</v>
      </c>
      <c r="E2062" s="174"/>
      <c r="F2062" s="72" t="s">
        <v>213</v>
      </c>
      <c r="G2062" s="90">
        <v>38.799999999999997</v>
      </c>
      <c r="H2062" s="91"/>
      <c r="I2062" s="103">
        <v>21</v>
      </c>
      <c r="J2062" s="90">
        <f>ROUND(G2062*AO2062,2)</f>
        <v>0</v>
      </c>
      <c r="K2062" s="90">
        <f>ROUND(G2062*AP2062,2)</f>
        <v>0</v>
      </c>
      <c r="L2062" s="90">
        <f>ROUND(G2062*H2062,2)</f>
        <v>0</v>
      </c>
      <c r="M2062" s="90">
        <f>L2062*(1+BW2062/100)</f>
        <v>0</v>
      </c>
      <c r="N2062" s="90">
        <v>5.0000000000000002E-5</v>
      </c>
      <c r="O2062" s="90">
        <f>G2062*N2062</f>
        <v>1.9399999999999999E-3</v>
      </c>
      <c r="P2062" s="92" t="s">
        <v>64</v>
      </c>
      <c r="Z2062" s="93">
        <f>ROUND(IF(AQ2062="5",BJ2062,0),2)</f>
        <v>0</v>
      </c>
      <c r="AB2062" s="93">
        <f>ROUND(IF(AQ2062="1",BH2062,0),2)</f>
        <v>0</v>
      </c>
      <c r="AC2062" s="93">
        <f>ROUND(IF(AQ2062="1",BI2062,0),2)</f>
        <v>0</v>
      </c>
      <c r="AD2062" s="93">
        <f>ROUND(IF(AQ2062="7",BH2062,0),2)</f>
        <v>0</v>
      </c>
      <c r="AE2062" s="93">
        <f>ROUND(IF(AQ2062="7",BI2062,0),2)</f>
        <v>0</v>
      </c>
      <c r="AF2062" s="93">
        <f>ROUND(IF(AQ2062="2",BH2062,0),2)</f>
        <v>0</v>
      </c>
      <c r="AG2062" s="93">
        <f>ROUND(IF(AQ2062="2",BI2062,0),2)</f>
        <v>0</v>
      </c>
      <c r="AH2062" s="93">
        <f>ROUND(IF(AQ2062="0",BJ2062,0),2)</f>
        <v>0</v>
      </c>
      <c r="AI2062" s="88" t="s">
        <v>55</v>
      </c>
      <c r="AJ2062" s="93">
        <f>IF(AN2062=0,L2062,0)</f>
        <v>0</v>
      </c>
      <c r="AK2062" s="93">
        <f>IF(AN2062=12,L2062,0)</f>
        <v>0</v>
      </c>
      <c r="AL2062" s="93">
        <f>IF(AN2062=21,L2062,0)</f>
        <v>0</v>
      </c>
      <c r="AN2062" s="93">
        <v>21</v>
      </c>
      <c r="AO2062" s="93">
        <f>H2062*0.068805114</f>
        <v>0</v>
      </c>
      <c r="AP2062" s="93">
        <f>H2062*(1-0.068805114)</f>
        <v>0</v>
      </c>
      <c r="AQ2062" s="94" t="s">
        <v>148</v>
      </c>
      <c r="AV2062" s="93">
        <f>ROUND(AW2062+AX2062,2)</f>
        <v>0</v>
      </c>
      <c r="AW2062" s="93">
        <f>ROUND(G2062*AO2062,2)</f>
        <v>0</v>
      </c>
      <c r="AX2062" s="93">
        <f>ROUND(G2062*AP2062,2)</f>
        <v>0</v>
      </c>
      <c r="AY2062" s="94" t="s">
        <v>2740</v>
      </c>
      <c r="AZ2062" s="94" t="s">
        <v>2705</v>
      </c>
      <c r="BA2062" s="88" t="s">
        <v>67</v>
      </c>
      <c r="BC2062" s="93">
        <f>AW2062+AX2062</f>
        <v>0</v>
      </c>
      <c r="BD2062" s="93">
        <f>H2062/(100-BE2062)*100</f>
        <v>0</v>
      </c>
      <c r="BE2062" s="93">
        <v>0</v>
      </c>
      <c r="BF2062" s="93">
        <f>O2062</f>
        <v>1.9399999999999999E-3</v>
      </c>
      <c r="BH2062" s="93">
        <f>G2062*AO2062</f>
        <v>0</v>
      </c>
      <c r="BI2062" s="93">
        <f>G2062*AP2062</f>
        <v>0</v>
      </c>
      <c r="BJ2062" s="93">
        <f>G2062*H2062</f>
        <v>0</v>
      </c>
      <c r="BK2062" s="93"/>
      <c r="BL2062" s="93">
        <v>776</v>
      </c>
      <c r="BW2062" s="93">
        <f>I2062</f>
        <v>21</v>
      </c>
      <c r="BX2062" s="2" t="s">
        <v>2758</v>
      </c>
    </row>
    <row r="2063" spans="1:76" s="81" customFormat="1" x14ac:dyDescent="0.25">
      <c r="A2063" s="110"/>
      <c r="B2063" s="95"/>
      <c r="C2063" s="95"/>
      <c r="D2063" s="76" t="s">
        <v>54</v>
      </c>
      <c r="E2063" s="76" t="s">
        <v>1105</v>
      </c>
      <c r="F2063" s="95"/>
      <c r="G2063" s="96">
        <v>0</v>
      </c>
      <c r="H2063" s="97"/>
      <c r="I2063" s="95"/>
      <c r="J2063" s="95"/>
      <c r="K2063" s="95"/>
      <c r="L2063" s="95"/>
      <c r="M2063" s="95"/>
      <c r="N2063" s="95"/>
      <c r="O2063" s="95"/>
      <c r="P2063" s="95"/>
    </row>
    <row r="2064" spans="1:76" s="81" customFormat="1" x14ac:dyDescent="0.25">
      <c r="A2064" s="110"/>
      <c r="B2064" s="95"/>
      <c r="C2064" s="95"/>
      <c r="D2064" s="76" t="s">
        <v>54</v>
      </c>
      <c r="E2064" s="76" t="s">
        <v>2754</v>
      </c>
      <c r="F2064" s="95"/>
      <c r="G2064" s="96">
        <v>0</v>
      </c>
      <c r="H2064" s="97"/>
      <c r="I2064" s="95"/>
      <c r="J2064" s="95"/>
      <c r="K2064" s="95"/>
      <c r="L2064" s="95"/>
      <c r="M2064" s="95"/>
      <c r="N2064" s="95"/>
      <c r="O2064" s="95"/>
      <c r="P2064" s="95"/>
    </row>
    <row r="2065" spans="1:76" s="81" customFormat="1" x14ac:dyDescent="0.25">
      <c r="A2065" s="110"/>
      <c r="B2065" s="95"/>
      <c r="C2065" s="95"/>
      <c r="D2065" s="76" t="s">
        <v>2755</v>
      </c>
      <c r="E2065" s="76" t="s">
        <v>54</v>
      </c>
      <c r="F2065" s="95"/>
      <c r="G2065" s="96">
        <v>28</v>
      </c>
      <c r="H2065" s="97"/>
      <c r="I2065" s="95"/>
      <c r="J2065" s="95"/>
      <c r="K2065" s="95"/>
      <c r="L2065" s="95"/>
      <c r="M2065" s="95"/>
      <c r="N2065" s="95"/>
      <c r="O2065" s="95"/>
      <c r="P2065" s="95"/>
    </row>
    <row r="2066" spans="1:76" s="81" customFormat="1" x14ac:dyDescent="0.25">
      <c r="A2066" s="110"/>
      <c r="B2066" s="95"/>
      <c r="C2066" s="95"/>
      <c r="D2066" s="76" t="s">
        <v>4314</v>
      </c>
      <c r="E2066" s="76" t="s">
        <v>4315</v>
      </c>
      <c r="F2066" s="95"/>
      <c r="G2066" s="96">
        <v>10.8</v>
      </c>
      <c r="H2066" s="97"/>
      <c r="I2066" s="95"/>
      <c r="J2066" s="95"/>
      <c r="K2066" s="95"/>
      <c r="L2066" s="95"/>
      <c r="M2066" s="95"/>
      <c r="N2066" s="95"/>
      <c r="O2066" s="95"/>
      <c r="P2066" s="95"/>
    </row>
    <row r="2067" spans="1:76" s="81" customFormat="1" ht="25.5" x14ac:dyDescent="0.25">
      <c r="A2067" s="66" t="s">
        <v>2783</v>
      </c>
      <c r="B2067" s="72" t="s">
        <v>55</v>
      </c>
      <c r="C2067" s="72" t="s">
        <v>2749</v>
      </c>
      <c r="D2067" s="174" t="s">
        <v>2750</v>
      </c>
      <c r="E2067" s="174"/>
      <c r="F2067" s="72" t="s">
        <v>192</v>
      </c>
      <c r="G2067" s="90">
        <v>18.781400000000001</v>
      </c>
      <c r="H2067" s="91"/>
      <c r="I2067" s="103">
        <v>21</v>
      </c>
      <c r="J2067" s="90">
        <f>ROUND(G2067*AO2067,2)</f>
        <v>0</v>
      </c>
      <c r="K2067" s="90">
        <f>ROUND(G2067*AP2067,2)</f>
        <v>0</v>
      </c>
      <c r="L2067" s="90">
        <f>ROUND(G2067*H2067,2)</f>
        <v>0</v>
      </c>
      <c r="M2067" s="90">
        <f>L2067*(1+BW2067/100)</f>
        <v>0</v>
      </c>
      <c r="N2067" s="90">
        <v>2.3600000000000001E-3</v>
      </c>
      <c r="O2067" s="90">
        <f>G2067*N2067</f>
        <v>4.4324104000000003E-2</v>
      </c>
      <c r="P2067" s="92" t="s">
        <v>578</v>
      </c>
      <c r="Z2067" s="93">
        <f>ROUND(IF(AQ2067="5",BJ2067,0),2)</f>
        <v>0</v>
      </c>
      <c r="AB2067" s="93">
        <f>ROUND(IF(AQ2067="1",BH2067,0),2)</f>
        <v>0</v>
      </c>
      <c r="AC2067" s="93">
        <f>ROUND(IF(AQ2067="1",BI2067,0),2)</f>
        <v>0</v>
      </c>
      <c r="AD2067" s="93">
        <f>ROUND(IF(AQ2067="7",BH2067,0),2)</f>
        <v>0</v>
      </c>
      <c r="AE2067" s="93">
        <f>ROUND(IF(AQ2067="7",BI2067,0),2)</f>
        <v>0</v>
      </c>
      <c r="AF2067" s="93">
        <f>ROUND(IF(AQ2067="2",BH2067,0),2)</f>
        <v>0</v>
      </c>
      <c r="AG2067" s="93">
        <f>ROUND(IF(AQ2067="2",BI2067,0),2)</f>
        <v>0</v>
      </c>
      <c r="AH2067" s="93">
        <f>ROUND(IF(AQ2067="0",BJ2067,0),2)</f>
        <v>0</v>
      </c>
      <c r="AI2067" s="88" t="s">
        <v>55</v>
      </c>
      <c r="AJ2067" s="93">
        <f>IF(AN2067=0,L2067,0)</f>
        <v>0</v>
      </c>
      <c r="AK2067" s="93">
        <f>IF(AN2067=12,L2067,0)</f>
        <v>0</v>
      </c>
      <c r="AL2067" s="93">
        <f>IF(AN2067=21,L2067,0)</f>
        <v>0</v>
      </c>
      <c r="AN2067" s="93">
        <v>21</v>
      </c>
      <c r="AO2067" s="93">
        <f>H2067*1</f>
        <v>0</v>
      </c>
      <c r="AP2067" s="93">
        <f>H2067*(1-1)</f>
        <v>0</v>
      </c>
      <c r="AQ2067" s="94" t="s">
        <v>148</v>
      </c>
      <c r="AV2067" s="93">
        <f>ROUND(AW2067+AX2067,2)</f>
        <v>0</v>
      </c>
      <c r="AW2067" s="93">
        <f>ROUND(G2067*AO2067,2)</f>
        <v>0</v>
      </c>
      <c r="AX2067" s="93">
        <f>ROUND(G2067*AP2067,2)</f>
        <v>0</v>
      </c>
      <c r="AY2067" s="94" t="s">
        <v>2740</v>
      </c>
      <c r="AZ2067" s="94" t="s">
        <v>2705</v>
      </c>
      <c r="BA2067" s="88" t="s">
        <v>67</v>
      </c>
      <c r="BC2067" s="93">
        <f>AW2067+AX2067</f>
        <v>0</v>
      </c>
      <c r="BD2067" s="93">
        <f>H2067/(100-BE2067)*100</f>
        <v>0</v>
      </c>
      <c r="BE2067" s="93">
        <v>0</v>
      </c>
      <c r="BF2067" s="93">
        <f>O2067</f>
        <v>4.4324104000000003E-2</v>
      </c>
      <c r="BH2067" s="93">
        <f>G2067*AO2067</f>
        <v>0</v>
      </c>
      <c r="BI2067" s="93">
        <f>G2067*AP2067</f>
        <v>0</v>
      </c>
      <c r="BJ2067" s="93">
        <f>G2067*H2067</f>
        <v>0</v>
      </c>
      <c r="BK2067" s="93"/>
      <c r="BL2067" s="93">
        <v>776</v>
      </c>
      <c r="BW2067" s="93">
        <f>I2067</f>
        <v>21</v>
      </c>
      <c r="BX2067" s="2" t="s">
        <v>2750</v>
      </c>
    </row>
    <row r="2068" spans="1:76" s="81" customFormat="1" x14ac:dyDescent="0.25">
      <c r="A2068" s="110"/>
      <c r="B2068" s="95"/>
      <c r="C2068" s="95"/>
      <c r="D2068" s="76" t="s">
        <v>2760</v>
      </c>
      <c r="E2068" s="76" t="s">
        <v>54</v>
      </c>
      <c r="F2068" s="95"/>
      <c r="G2068" s="96">
        <v>12.375999999999999</v>
      </c>
      <c r="H2068" s="97"/>
      <c r="I2068" s="95"/>
      <c r="J2068" s="95"/>
      <c r="K2068" s="95"/>
      <c r="L2068" s="95"/>
      <c r="M2068" s="95"/>
      <c r="N2068" s="95"/>
      <c r="O2068" s="95"/>
      <c r="P2068" s="95"/>
    </row>
    <row r="2069" spans="1:76" s="81" customFormat="1" x14ac:dyDescent="0.25">
      <c r="A2069" s="110"/>
      <c r="B2069" s="95"/>
      <c r="C2069" s="95"/>
      <c r="D2069" s="76" t="s">
        <v>4316</v>
      </c>
      <c r="E2069" s="76" t="s">
        <v>54</v>
      </c>
      <c r="F2069" s="95"/>
      <c r="G2069" s="96">
        <v>4.6980000000000004</v>
      </c>
      <c r="H2069" s="97"/>
      <c r="I2069" s="95"/>
      <c r="J2069" s="95"/>
      <c r="K2069" s="95"/>
      <c r="L2069" s="95"/>
      <c r="M2069" s="95"/>
      <c r="N2069" s="95"/>
      <c r="O2069" s="95"/>
      <c r="P2069" s="95"/>
    </row>
    <row r="2070" spans="1:76" s="81" customFormat="1" x14ac:dyDescent="0.25">
      <c r="A2070" s="110"/>
      <c r="B2070" s="95"/>
      <c r="C2070" s="95"/>
      <c r="D2070" s="76" t="s">
        <v>4317</v>
      </c>
      <c r="E2070" s="76" t="s">
        <v>54</v>
      </c>
      <c r="F2070" s="95"/>
      <c r="G2070" s="96">
        <v>1.7074</v>
      </c>
      <c r="H2070" s="97"/>
      <c r="I2070" s="95"/>
      <c r="J2070" s="95"/>
      <c r="K2070" s="95"/>
      <c r="L2070" s="95"/>
      <c r="M2070" s="95"/>
      <c r="N2070" s="95"/>
      <c r="O2070" s="95"/>
      <c r="P2070" s="95"/>
    </row>
    <row r="2071" spans="1:76" s="81" customFormat="1" ht="25.5" x14ac:dyDescent="0.25">
      <c r="A2071" s="66" t="s">
        <v>2788</v>
      </c>
      <c r="B2071" s="72" t="s">
        <v>55</v>
      </c>
      <c r="C2071" s="72" t="s">
        <v>2762</v>
      </c>
      <c r="D2071" s="174" t="s">
        <v>2763</v>
      </c>
      <c r="E2071" s="174"/>
      <c r="F2071" s="72" t="s">
        <v>213</v>
      </c>
      <c r="G2071" s="90">
        <v>38.799999999999997</v>
      </c>
      <c r="H2071" s="91"/>
      <c r="I2071" s="103">
        <v>21</v>
      </c>
      <c r="J2071" s="90">
        <f>ROUND(G2071*AO2071,2)</f>
        <v>0</v>
      </c>
      <c r="K2071" s="90">
        <f>ROUND(G2071*AP2071,2)</f>
        <v>0</v>
      </c>
      <c r="L2071" s="90">
        <f>ROUND(G2071*H2071,2)</f>
        <v>0</v>
      </c>
      <c r="M2071" s="90">
        <f>L2071*(1+BW2071/100)</f>
        <v>0</v>
      </c>
      <c r="N2071" s="90">
        <v>2.3000000000000001E-4</v>
      </c>
      <c r="O2071" s="90">
        <f>G2071*N2071</f>
        <v>8.9239999999999996E-3</v>
      </c>
      <c r="P2071" s="92" t="s">
        <v>64</v>
      </c>
      <c r="Z2071" s="93">
        <f>ROUND(IF(AQ2071="5",BJ2071,0),2)</f>
        <v>0</v>
      </c>
      <c r="AB2071" s="93">
        <f>ROUND(IF(AQ2071="1",BH2071,0),2)</f>
        <v>0</v>
      </c>
      <c r="AC2071" s="93">
        <f>ROUND(IF(AQ2071="1",BI2071,0),2)</f>
        <v>0</v>
      </c>
      <c r="AD2071" s="93">
        <f>ROUND(IF(AQ2071="7",BH2071,0),2)</f>
        <v>0</v>
      </c>
      <c r="AE2071" s="93">
        <f>ROUND(IF(AQ2071="7",BI2071,0),2)</f>
        <v>0</v>
      </c>
      <c r="AF2071" s="93">
        <f>ROUND(IF(AQ2071="2",BH2071,0),2)</f>
        <v>0</v>
      </c>
      <c r="AG2071" s="93">
        <f>ROUND(IF(AQ2071="2",BI2071,0),2)</f>
        <v>0</v>
      </c>
      <c r="AH2071" s="93">
        <f>ROUND(IF(AQ2071="0",BJ2071,0),2)</f>
        <v>0</v>
      </c>
      <c r="AI2071" s="88" t="s">
        <v>55</v>
      </c>
      <c r="AJ2071" s="93">
        <f>IF(AN2071=0,L2071,0)</f>
        <v>0</v>
      </c>
      <c r="AK2071" s="93">
        <f>IF(AN2071=12,L2071,0)</f>
        <v>0</v>
      </c>
      <c r="AL2071" s="93">
        <f>IF(AN2071=21,L2071,0)</f>
        <v>0</v>
      </c>
      <c r="AN2071" s="93">
        <v>21</v>
      </c>
      <c r="AO2071" s="93">
        <f>H2071*0.85399406</f>
        <v>0</v>
      </c>
      <c r="AP2071" s="93">
        <f>H2071*(1-0.85399406)</f>
        <v>0</v>
      </c>
      <c r="AQ2071" s="94" t="s">
        <v>148</v>
      </c>
      <c r="AV2071" s="93">
        <f>ROUND(AW2071+AX2071,2)</f>
        <v>0</v>
      </c>
      <c r="AW2071" s="93">
        <f>ROUND(G2071*AO2071,2)</f>
        <v>0</v>
      </c>
      <c r="AX2071" s="93">
        <f>ROUND(G2071*AP2071,2)</f>
        <v>0</v>
      </c>
      <c r="AY2071" s="94" t="s">
        <v>2740</v>
      </c>
      <c r="AZ2071" s="94" t="s">
        <v>2705</v>
      </c>
      <c r="BA2071" s="88" t="s">
        <v>67</v>
      </c>
      <c r="BC2071" s="93">
        <f>AW2071+AX2071</f>
        <v>0</v>
      </c>
      <c r="BD2071" s="93">
        <f>H2071/(100-BE2071)*100</f>
        <v>0</v>
      </c>
      <c r="BE2071" s="93">
        <v>0</v>
      </c>
      <c r="BF2071" s="93">
        <f>O2071</f>
        <v>8.9239999999999996E-3</v>
      </c>
      <c r="BH2071" s="93">
        <f>G2071*AO2071</f>
        <v>0</v>
      </c>
      <c r="BI2071" s="93">
        <f>G2071*AP2071</f>
        <v>0</v>
      </c>
      <c r="BJ2071" s="93">
        <f>G2071*H2071</f>
        <v>0</v>
      </c>
      <c r="BK2071" s="93"/>
      <c r="BL2071" s="93">
        <v>776</v>
      </c>
      <c r="BW2071" s="93">
        <f>I2071</f>
        <v>21</v>
      </c>
      <c r="BX2071" s="2" t="s">
        <v>2763</v>
      </c>
    </row>
    <row r="2072" spans="1:76" s="81" customFormat="1" x14ac:dyDescent="0.25">
      <c r="A2072" s="110"/>
      <c r="B2072" s="95"/>
      <c r="C2072" s="95"/>
      <c r="D2072" s="76" t="s">
        <v>54</v>
      </c>
      <c r="E2072" s="76" t="s">
        <v>1105</v>
      </c>
      <c r="F2072" s="95"/>
      <c r="G2072" s="96">
        <v>0</v>
      </c>
      <c r="H2072" s="97"/>
      <c r="I2072" s="95"/>
      <c r="J2072" s="95"/>
      <c r="K2072" s="95"/>
      <c r="L2072" s="95"/>
      <c r="M2072" s="95"/>
      <c r="N2072" s="95"/>
      <c r="O2072" s="95"/>
      <c r="P2072" s="95"/>
    </row>
    <row r="2073" spans="1:76" s="81" customFormat="1" x14ac:dyDescent="0.25">
      <c r="A2073" s="110"/>
      <c r="B2073" s="95"/>
      <c r="C2073" s="95"/>
      <c r="D2073" s="76" t="s">
        <v>2764</v>
      </c>
      <c r="E2073" s="76" t="s">
        <v>2765</v>
      </c>
      <c r="F2073" s="95"/>
      <c r="G2073" s="96">
        <v>28</v>
      </c>
      <c r="H2073" s="97"/>
      <c r="I2073" s="95"/>
      <c r="J2073" s="95"/>
      <c r="K2073" s="95"/>
      <c r="L2073" s="95"/>
      <c r="M2073" s="95"/>
      <c r="N2073" s="95"/>
      <c r="O2073" s="95"/>
      <c r="P2073" s="95"/>
    </row>
    <row r="2074" spans="1:76" s="81" customFormat="1" x14ac:dyDescent="0.25">
      <c r="A2074" s="110"/>
      <c r="B2074" s="95"/>
      <c r="C2074" s="95"/>
      <c r="D2074" s="76" t="s">
        <v>4314</v>
      </c>
      <c r="E2074" s="76" t="s">
        <v>4318</v>
      </c>
      <c r="F2074" s="95"/>
      <c r="G2074" s="96">
        <v>10.8</v>
      </c>
      <c r="H2074" s="97"/>
      <c r="I2074" s="95"/>
      <c r="J2074" s="95"/>
      <c r="K2074" s="95"/>
      <c r="L2074" s="95"/>
      <c r="M2074" s="95"/>
      <c r="N2074" s="95"/>
      <c r="O2074" s="95"/>
      <c r="P2074" s="95"/>
    </row>
    <row r="2075" spans="1:76" s="81" customFormat="1" ht="25.5" x14ac:dyDescent="0.25">
      <c r="A2075" s="66" t="s">
        <v>2791</v>
      </c>
      <c r="B2075" s="72" t="s">
        <v>55</v>
      </c>
      <c r="C2075" s="72" t="s">
        <v>2767</v>
      </c>
      <c r="D2075" s="174" t="s">
        <v>2768</v>
      </c>
      <c r="E2075" s="174"/>
      <c r="F2075" s="72" t="s">
        <v>213</v>
      </c>
      <c r="G2075" s="90">
        <v>480.05099999999999</v>
      </c>
      <c r="H2075" s="91"/>
      <c r="I2075" s="103">
        <v>21</v>
      </c>
      <c r="J2075" s="90">
        <f>ROUND(G2075*AO2075,2)</f>
        <v>0</v>
      </c>
      <c r="K2075" s="90">
        <f>ROUND(G2075*AP2075,2)</f>
        <v>0</v>
      </c>
      <c r="L2075" s="90">
        <f>ROUND(G2075*H2075,2)</f>
        <v>0</v>
      </c>
      <c r="M2075" s="90">
        <f>L2075*(1+BW2075/100)</f>
        <v>0</v>
      </c>
      <c r="N2075" s="90">
        <v>3.0000000000000001E-5</v>
      </c>
      <c r="O2075" s="90">
        <f>G2075*N2075</f>
        <v>1.4401529999999999E-2</v>
      </c>
      <c r="P2075" s="92" t="s">
        <v>64</v>
      </c>
      <c r="Z2075" s="93">
        <f>ROUND(IF(AQ2075="5",BJ2075,0),2)</f>
        <v>0</v>
      </c>
      <c r="AB2075" s="93">
        <f>ROUND(IF(AQ2075="1",BH2075,0),2)</f>
        <v>0</v>
      </c>
      <c r="AC2075" s="93">
        <f>ROUND(IF(AQ2075="1",BI2075,0),2)</f>
        <v>0</v>
      </c>
      <c r="AD2075" s="93">
        <f>ROUND(IF(AQ2075="7",BH2075,0),2)</f>
        <v>0</v>
      </c>
      <c r="AE2075" s="93">
        <f>ROUND(IF(AQ2075="7",BI2075,0),2)</f>
        <v>0</v>
      </c>
      <c r="AF2075" s="93">
        <f>ROUND(IF(AQ2075="2",BH2075,0),2)</f>
        <v>0</v>
      </c>
      <c r="AG2075" s="93">
        <f>ROUND(IF(AQ2075="2",BI2075,0),2)</f>
        <v>0</v>
      </c>
      <c r="AH2075" s="93">
        <f>ROUND(IF(AQ2075="0",BJ2075,0),2)</f>
        <v>0</v>
      </c>
      <c r="AI2075" s="88" t="s">
        <v>55</v>
      </c>
      <c r="AJ2075" s="93">
        <f>IF(AN2075=0,L2075,0)</f>
        <v>0</v>
      </c>
      <c r="AK2075" s="93">
        <f>IF(AN2075=12,L2075,0)</f>
        <v>0</v>
      </c>
      <c r="AL2075" s="93">
        <f>IF(AN2075=21,L2075,0)</f>
        <v>0</v>
      </c>
      <c r="AN2075" s="93">
        <v>21</v>
      </c>
      <c r="AO2075" s="93">
        <f>H2075*0.137569707</f>
        <v>0</v>
      </c>
      <c r="AP2075" s="93">
        <f>H2075*(1-0.137569707)</f>
        <v>0</v>
      </c>
      <c r="AQ2075" s="94" t="s">
        <v>148</v>
      </c>
      <c r="AV2075" s="93">
        <f>ROUND(AW2075+AX2075,2)</f>
        <v>0</v>
      </c>
      <c r="AW2075" s="93">
        <f>ROUND(G2075*AO2075,2)</f>
        <v>0</v>
      </c>
      <c r="AX2075" s="93">
        <f>ROUND(G2075*AP2075,2)</f>
        <v>0</v>
      </c>
      <c r="AY2075" s="94" t="s">
        <v>2740</v>
      </c>
      <c r="AZ2075" s="94" t="s">
        <v>2705</v>
      </c>
      <c r="BA2075" s="88" t="s">
        <v>67</v>
      </c>
      <c r="BC2075" s="93">
        <f>AW2075+AX2075</f>
        <v>0</v>
      </c>
      <c r="BD2075" s="93">
        <f>H2075/(100-BE2075)*100</f>
        <v>0</v>
      </c>
      <c r="BE2075" s="93">
        <v>0</v>
      </c>
      <c r="BF2075" s="93">
        <f>O2075</f>
        <v>1.4401529999999999E-2</v>
      </c>
      <c r="BH2075" s="93">
        <f>G2075*AO2075</f>
        <v>0</v>
      </c>
      <c r="BI2075" s="93">
        <f>G2075*AP2075</f>
        <v>0</v>
      </c>
      <c r="BJ2075" s="93">
        <f>G2075*H2075</f>
        <v>0</v>
      </c>
      <c r="BK2075" s="93"/>
      <c r="BL2075" s="93">
        <v>776</v>
      </c>
      <c r="BW2075" s="93">
        <f>I2075</f>
        <v>21</v>
      </c>
      <c r="BX2075" s="2" t="s">
        <v>2768</v>
      </c>
    </row>
    <row r="2076" spans="1:76" s="81" customFormat="1" ht="13.5" customHeight="1" x14ac:dyDescent="0.25">
      <c r="A2076" s="110"/>
      <c r="B2076" s="95"/>
      <c r="C2076" s="95"/>
      <c r="D2076" s="179" t="s">
        <v>2769</v>
      </c>
      <c r="E2076" s="179"/>
      <c r="F2076" s="179"/>
      <c r="G2076" s="179"/>
      <c r="H2076" s="179"/>
      <c r="I2076" s="179"/>
      <c r="J2076" s="179"/>
      <c r="K2076" s="179"/>
      <c r="L2076" s="179"/>
      <c r="M2076" s="179"/>
      <c r="N2076" s="179"/>
      <c r="O2076" s="179"/>
      <c r="P2076" s="179"/>
    </row>
    <row r="2077" spans="1:76" s="81" customFormat="1" x14ac:dyDescent="0.25">
      <c r="A2077" s="110"/>
      <c r="B2077" s="95"/>
      <c r="C2077" s="95"/>
      <c r="D2077" s="76" t="s">
        <v>54</v>
      </c>
      <c r="E2077" s="76" t="s">
        <v>1102</v>
      </c>
      <c r="F2077" s="95"/>
      <c r="G2077" s="96">
        <v>0</v>
      </c>
      <c r="H2077" s="97"/>
      <c r="I2077" s="95"/>
      <c r="J2077" s="95"/>
      <c r="K2077" s="95"/>
      <c r="L2077" s="95"/>
      <c r="M2077" s="95"/>
      <c r="N2077" s="95"/>
      <c r="O2077" s="95"/>
      <c r="P2077" s="95"/>
    </row>
    <row r="2078" spans="1:76" s="81" customFormat="1" x14ac:dyDescent="0.25">
      <c r="A2078" s="110"/>
      <c r="B2078" s="95"/>
      <c r="C2078" s="95"/>
      <c r="D2078" s="76" t="s">
        <v>54</v>
      </c>
      <c r="E2078" s="76" t="s">
        <v>2724</v>
      </c>
      <c r="F2078" s="95"/>
      <c r="G2078" s="96">
        <v>0</v>
      </c>
      <c r="H2078" s="97"/>
      <c r="I2078" s="95"/>
      <c r="J2078" s="95"/>
      <c r="K2078" s="95"/>
      <c r="L2078" s="95"/>
      <c r="M2078" s="95"/>
      <c r="N2078" s="95"/>
      <c r="O2078" s="95"/>
      <c r="P2078" s="95"/>
    </row>
    <row r="2079" spans="1:76" s="81" customFormat="1" ht="38.25" x14ac:dyDescent="0.25">
      <c r="A2079" s="110"/>
      <c r="B2079" s="95"/>
      <c r="C2079" s="95"/>
      <c r="D2079" s="76" t="s">
        <v>2770</v>
      </c>
      <c r="E2079" s="76" t="s">
        <v>1104</v>
      </c>
      <c r="F2079" s="95"/>
      <c r="G2079" s="96">
        <v>108.108</v>
      </c>
      <c r="H2079" s="97"/>
      <c r="I2079" s="95"/>
      <c r="J2079" s="95"/>
      <c r="K2079" s="95"/>
      <c r="L2079" s="95"/>
      <c r="M2079" s="95"/>
      <c r="N2079" s="95"/>
      <c r="O2079" s="95"/>
      <c r="P2079" s="95"/>
    </row>
    <row r="2080" spans="1:76" s="81" customFormat="1" ht="25.5" x14ac:dyDescent="0.25">
      <c r="A2080" s="110"/>
      <c r="B2080" s="95"/>
      <c r="C2080" s="95"/>
      <c r="D2080" s="76" t="s">
        <v>2771</v>
      </c>
      <c r="E2080" s="76" t="s">
        <v>54</v>
      </c>
      <c r="F2080" s="95"/>
      <c r="G2080" s="96">
        <v>64.010000000000005</v>
      </c>
      <c r="H2080" s="97"/>
      <c r="I2080" s="95"/>
      <c r="J2080" s="95"/>
      <c r="K2080" s="95"/>
      <c r="L2080" s="95"/>
      <c r="M2080" s="95"/>
      <c r="N2080" s="95"/>
      <c r="O2080" s="95"/>
      <c r="P2080" s="95"/>
    </row>
    <row r="2081" spans="1:76" s="81" customFormat="1" ht="38.25" x14ac:dyDescent="0.25">
      <c r="A2081" s="110"/>
      <c r="B2081" s="95"/>
      <c r="C2081" s="95"/>
      <c r="D2081" s="76" t="s">
        <v>2772</v>
      </c>
      <c r="E2081" s="76" t="s">
        <v>54</v>
      </c>
      <c r="F2081" s="95"/>
      <c r="G2081" s="96">
        <v>-19.821000000000002</v>
      </c>
      <c r="H2081" s="97"/>
      <c r="I2081" s="95"/>
      <c r="J2081" s="95"/>
      <c r="K2081" s="95"/>
      <c r="L2081" s="95"/>
      <c r="M2081" s="95"/>
      <c r="N2081" s="95"/>
      <c r="O2081" s="95"/>
      <c r="P2081" s="95"/>
    </row>
    <row r="2082" spans="1:76" s="81" customFormat="1" ht="25.5" x14ac:dyDescent="0.25">
      <c r="A2082" s="110"/>
      <c r="B2082" s="95"/>
      <c r="C2082" s="95"/>
      <c r="D2082" s="76" t="s">
        <v>2773</v>
      </c>
      <c r="E2082" s="76" t="s">
        <v>54</v>
      </c>
      <c r="F2082" s="95"/>
      <c r="G2082" s="96">
        <v>33.340000000000003</v>
      </c>
      <c r="H2082" s="97"/>
      <c r="I2082" s="95"/>
      <c r="J2082" s="95"/>
      <c r="K2082" s="95"/>
      <c r="L2082" s="95"/>
      <c r="M2082" s="95"/>
      <c r="N2082" s="95"/>
      <c r="O2082" s="95"/>
      <c r="P2082" s="95"/>
    </row>
    <row r="2083" spans="1:76" s="81" customFormat="1" x14ac:dyDescent="0.25">
      <c r="A2083" s="110"/>
      <c r="B2083" s="95"/>
      <c r="C2083" s="95"/>
      <c r="D2083" s="76" t="s">
        <v>2774</v>
      </c>
      <c r="E2083" s="76" t="s">
        <v>54</v>
      </c>
      <c r="F2083" s="95"/>
      <c r="G2083" s="96">
        <v>27.24</v>
      </c>
      <c r="H2083" s="97"/>
      <c r="I2083" s="95"/>
      <c r="J2083" s="95"/>
      <c r="K2083" s="95"/>
      <c r="L2083" s="95"/>
      <c r="M2083" s="95"/>
      <c r="N2083" s="95"/>
      <c r="O2083" s="95"/>
      <c r="P2083" s="95"/>
    </row>
    <row r="2084" spans="1:76" s="81" customFormat="1" x14ac:dyDescent="0.25">
      <c r="A2084" s="110"/>
      <c r="B2084" s="95"/>
      <c r="C2084" s="95"/>
      <c r="D2084" s="76" t="s">
        <v>2775</v>
      </c>
      <c r="E2084" s="76" t="s">
        <v>54</v>
      </c>
      <c r="F2084" s="95"/>
      <c r="G2084" s="96">
        <v>27.24</v>
      </c>
      <c r="H2084" s="97"/>
      <c r="I2084" s="95"/>
      <c r="J2084" s="95"/>
      <c r="K2084" s="95"/>
      <c r="L2084" s="95"/>
      <c r="M2084" s="95"/>
      <c r="N2084" s="95"/>
      <c r="O2084" s="95"/>
      <c r="P2084" s="95"/>
    </row>
    <row r="2085" spans="1:76" s="81" customFormat="1" x14ac:dyDescent="0.25">
      <c r="A2085" s="110"/>
      <c r="B2085" s="95"/>
      <c r="C2085" s="95"/>
      <c r="D2085" s="76" t="s">
        <v>2776</v>
      </c>
      <c r="E2085" s="76" t="s">
        <v>54</v>
      </c>
      <c r="F2085" s="95"/>
      <c r="G2085" s="96">
        <v>27.24</v>
      </c>
      <c r="H2085" s="97"/>
      <c r="I2085" s="95"/>
      <c r="J2085" s="95"/>
      <c r="K2085" s="95"/>
      <c r="L2085" s="95"/>
      <c r="M2085" s="95"/>
      <c r="N2085" s="95"/>
      <c r="O2085" s="95"/>
      <c r="P2085" s="95"/>
    </row>
    <row r="2086" spans="1:76" s="81" customFormat="1" ht="25.5" x14ac:dyDescent="0.25">
      <c r="A2086" s="110"/>
      <c r="B2086" s="95"/>
      <c r="C2086" s="95"/>
      <c r="D2086" s="76" t="s">
        <v>2777</v>
      </c>
      <c r="E2086" s="76" t="s">
        <v>54</v>
      </c>
      <c r="F2086" s="95"/>
      <c r="G2086" s="96">
        <v>29.62</v>
      </c>
      <c r="H2086" s="97"/>
      <c r="I2086" s="95"/>
      <c r="J2086" s="95"/>
      <c r="K2086" s="95"/>
      <c r="L2086" s="95"/>
      <c r="M2086" s="95"/>
      <c r="N2086" s="95"/>
      <c r="O2086" s="95"/>
      <c r="P2086" s="95"/>
    </row>
    <row r="2087" spans="1:76" s="81" customFormat="1" x14ac:dyDescent="0.25">
      <c r="A2087" s="110"/>
      <c r="B2087" s="95"/>
      <c r="C2087" s="95"/>
      <c r="D2087" s="76" t="s">
        <v>2778</v>
      </c>
      <c r="E2087" s="76" t="s">
        <v>54</v>
      </c>
      <c r="F2087" s="95"/>
      <c r="G2087" s="96">
        <v>30.65</v>
      </c>
      <c r="H2087" s="97"/>
      <c r="I2087" s="95"/>
      <c r="J2087" s="95"/>
      <c r="K2087" s="95"/>
      <c r="L2087" s="95"/>
      <c r="M2087" s="95"/>
      <c r="N2087" s="95"/>
      <c r="O2087" s="95"/>
      <c r="P2087" s="95"/>
    </row>
    <row r="2088" spans="1:76" s="81" customFormat="1" x14ac:dyDescent="0.25">
      <c r="A2088" s="110"/>
      <c r="B2088" s="95"/>
      <c r="C2088" s="95"/>
      <c r="D2088" s="76" t="s">
        <v>2779</v>
      </c>
      <c r="E2088" s="76" t="s">
        <v>54</v>
      </c>
      <c r="F2088" s="95"/>
      <c r="G2088" s="96">
        <v>7.75</v>
      </c>
      <c r="H2088" s="97"/>
      <c r="I2088" s="95"/>
      <c r="J2088" s="95"/>
      <c r="K2088" s="95"/>
      <c r="L2088" s="95"/>
      <c r="M2088" s="95"/>
      <c r="N2088" s="95"/>
      <c r="O2088" s="95"/>
      <c r="P2088" s="95"/>
    </row>
    <row r="2089" spans="1:76" s="81" customFormat="1" x14ac:dyDescent="0.25">
      <c r="A2089" s="110"/>
      <c r="B2089" s="95"/>
      <c r="C2089" s="95"/>
      <c r="D2089" s="76" t="s">
        <v>54</v>
      </c>
      <c r="E2089" s="76" t="s">
        <v>1105</v>
      </c>
      <c r="F2089" s="95"/>
      <c r="G2089" s="96">
        <v>0</v>
      </c>
      <c r="H2089" s="97"/>
      <c r="I2089" s="95"/>
      <c r="J2089" s="95"/>
      <c r="K2089" s="95"/>
      <c r="L2089" s="95"/>
      <c r="M2089" s="95"/>
      <c r="N2089" s="95"/>
      <c r="O2089" s="95"/>
      <c r="P2089" s="95"/>
    </row>
    <row r="2090" spans="1:76" s="81" customFormat="1" x14ac:dyDescent="0.25">
      <c r="A2090" s="110"/>
      <c r="B2090" s="95"/>
      <c r="C2090" s="95"/>
      <c r="D2090" s="76" t="s">
        <v>54</v>
      </c>
      <c r="E2090" s="76" t="s">
        <v>1106</v>
      </c>
      <c r="F2090" s="95"/>
      <c r="G2090" s="96">
        <v>0</v>
      </c>
      <c r="H2090" s="97"/>
      <c r="I2090" s="95"/>
      <c r="J2090" s="95"/>
      <c r="K2090" s="95"/>
      <c r="L2090" s="95"/>
      <c r="M2090" s="95"/>
      <c r="N2090" s="95"/>
      <c r="O2090" s="95"/>
      <c r="P2090" s="95"/>
    </row>
    <row r="2091" spans="1:76" s="81" customFormat="1" x14ac:dyDescent="0.25">
      <c r="A2091" s="110"/>
      <c r="B2091" s="95"/>
      <c r="C2091" s="95"/>
      <c r="D2091" s="76" t="s">
        <v>2780</v>
      </c>
      <c r="E2091" s="76" t="s">
        <v>2781</v>
      </c>
      <c r="F2091" s="95"/>
      <c r="G2091" s="96">
        <v>13.63</v>
      </c>
      <c r="H2091" s="97"/>
      <c r="I2091" s="95"/>
      <c r="J2091" s="95"/>
      <c r="K2091" s="95"/>
      <c r="L2091" s="95"/>
      <c r="M2091" s="95"/>
      <c r="N2091" s="95"/>
      <c r="O2091" s="95"/>
      <c r="P2091" s="95"/>
    </row>
    <row r="2092" spans="1:76" s="81" customFormat="1" ht="25.5" x14ac:dyDescent="0.25">
      <c r="A2092" s="110"/>
      <c r="B2092" s="95"/>
      <c r="C2092" s="95"/>
      <c r="D2092" s="76" t="s">
        <v>2782</v>
      </c>
      <c r="E2092" s="76" t="s">
        <v>1110</v>
      </c>
      <c r="F2092" s="95"/>
      <c r="G2092" s="96">
        <v>131.04400000000001</v>
      </c>
      <c r="H2092" s="97"/>
      <c r="I2092" s="95"/>
      <c r="J2092" s="95"/>
      <c r="K2092" s="95"/>
      <c r="L2092" s="95"/>
      <c r="M2092" s="95"/>
      <c r="N2092" s="95"/>
      <c r="O2092" s="95"/>
      <c r="P2092" s="95"/>
    </row>
    <row r="2093" spans="1:76" s="81" customFormat="1" ht="25.5" x14ac:dyDescent="0.25">
      <c r="A2093" s="66" t="s">
        <v>2796</v>
      </c>
      <c r="B2093" s="72" t="s">
        <v>55</v>
      </c>
      <c r="C2093" s="72" t="s">
        <v>2784</v>
      </c>
      <c r="D2093" s="174" t="s">
        <v>2785</v>
      </c>
      <c r="E2093" s="174"/>
      <c r="F2093" s="72" t="s">
        <v>213</v>
      </c>
      <c r="G2093" s="90">
        <v>528.05610000000001</v>
      </c>
      <c r="H2093" s="91"/>
      <c r="I2093" s="103">
        <v>21</v>
      </c>
      <c r="J2093" s="90">
        <f>ROUND(G2093*AO2093,2)</f>
        <v>0</v>
      </c>
      <c r="K2093" s="90">
        <f>ROUND(G2093*AP2093,2)</f>
        <v>0</v>
      </c>
      <c r="L2093" s="90">
        <f>ROUND(G2093*H2093,2)</f>
        <v>0</v>
      </c>
      <c r="M2093" s="90">
        <f>L2093*(1+BW2093/100)</f>
        <v>0</v>
      </c>
      <c r="N2093" s="90">
        <v>0</v>
      </c>
      <c r="O2093" s="90">
        <f>G2093*N2093</f>
        <v>0</v>
      </c>
      <c r="P2093" s="92" t="s">
        <v>578</v>
      </c>
      <c r="Z2093" s="93">
        <f>ROUND(IF(AQ2093="5",BJ2093,0),2)</f>
        <v>0</v>
      </c>
      <c r="AB2093" s="93">
        <f>ROUND(IF(AQ2093="1",BH2093,0),2)</f>
        <v>0</v>
      </c>
      <c r="AC2093" s="93">
        <f>ROUND(IF(AQ2093="1",BI2093,0),2)</f>
        <v>0</v>
      </c>
      <c r="AD2093" s="93">
        <f>ROUND(IF(AQ2093="7",BH2093,0),2)</f>
        <v>0</v>
      </c>
      <c r="AE2093" s="93">
        <f>ROUND(IF(AQ2093="7",BI2093,0),2)</f>
        <v>0</v>
      </c>
      <c r="AF2093" s="93">
        <f>ROUND(IF(AQ2093="2",BH2093,0),2)</f>
        <v>0</v>
      </c>
      <c r="AG2093" s="93">
        <f>ROUND(IF(AQ2093="2",BI2093,0),2)</f>
        <v>0</v>
      </c>
      <c r="AH2093" s="93">
        <f>ROUND(IF(AQ2093="0",BJ2093,0),2)</f>
        <v>0</v>
      </c>
      <c r="AI2093" s="88" t="s">
        <v>55</v>
      </c>
      <c r="AJ2093" s="93">
        <f>IF(AN2093=0,L2093,0)</f>
        <v>0</v>
      </c>
      <c r="AK2093" s="93">
        <f>IF(AN2093=12,L2093,0)</f>
        <v>0</v>
      </c>
      <c r="AL2093" s="93">
        <f>IF(AN2093=21,L2093,0)</f>
        <v>0</v>
      </c>
      <c r="AN2093" s="93">
        <v>21</v>
      </c>
      <c r="AO2093" s="93">
        <f>H2093*1</f>
        <v>0</v>
      </c>
      <c r="AP2093" s="93">
        <f>H2093*(1-1)</f>
        <v>0</v>
      </c>
      <c r="AQ2093" s="94" t="s">
        <v>148</v>
      </c>
      <c r="AV2093" s="93">
        <f>ROUND(AW2093+AX2093,2)</f>
        <v>0</v>
      </c>
      <c r="AW2093" s="93">
        <f>ROUND(G2093*AO2093,2)</f>
        <v>0</v>
      </c>
      <c r="AX2093" s="93">
        <f>ROUND(G2093*AP2093,2)</f>
        <v>0</v>
      </c>
      <c r="AY2093" s="94" t="s">
        <v>2740</v>
      </c>
      <c r="AZ2093" s="94" t="s">
        <v>2705</v>
      </c>
      <c r="BA2093" s="88" t="s">
        <v>67</v>
      </c>
      <c r="BC2093" s="93">
        <f>AW2093+AX2093</f>
        <v>0</v>
      </c>
      <c r="BD2093" s="93">
        <f>H2093/(100-BE2093)*100</f>
        <v>0</v>
      </c>
      <c r="BE2093" s="93">
        <v>0</v>
      </c>
      <c r="BF2093" s="93">
        <f>O2093</f>
        <v>0</v>
      </c>
      <c r="BH2093" s="93">
        <f>G2093*AO2093</f>
        <v>0</v>
      </c>
      <c r="BI2093" s="93">
        <f>G2093*AP2093</f>
        <v>0</v>
      </c>
      <c r="BJ2093" s="93">
        <f>G2093*H2093</f>
        <v>0</v>
      </c>
      <c r="BK2093" s="93"/>
      <c r="BL2093" s="93">
        <v>776</v>
      </c>
      <c r="BW2093" s="93">
        <f>I2093</f>
        <v>21</v>
      </c>
      <c r="BX2093" s="2" t="s">
        <v>2785</v>
      </c>
    </row>
    <row r="2094" spans="1:76" s="81" customFormat="1" x14ac:dyDescent="0.25">
      <c r="A2094" s="110"/>
      <c r="B2094" s="95"/>
      <c r="C2094" s="95"/>
      <c r="D2094" s="76" t="s">
        <v>2786</v>
      </c>
      <c r="E2094" s="76" t="s">
        <v>54</v>
      </c>
      <c r="F2094" s="95"/>
      <c r="G2094" s="96">
        <v>480.05099999999999</v>
      </c>
      <c r="H2094" s="97"/>
      <c r="I2094" s="95"/>
      <c r="J2094" s="95"/>
      <c r="K2094" s="95"/>
      <c r="L2094" s="95"/>
      <c r="M2094" s="95"/>
      <c r="N2094" s="95"/>
      <c r="O2094" s="95"/>
      <c r="P2094" s="95"/>
    </row>
    <row r="2095" spans="1:76" s="81" customFormat="1" x14ac:dyDescent="0.25">
      <c r="A2095" s="110"/>
      <c r="B2095" s="95"/>
      <c r="C2095" s="95"/>
      <c r="D2095" s="76" t="s">
        <v>2787</v>
      </c>
      <c r="E2095" s="76" t="s">
        <v>54</v>
      </c>
      <c r="F2095" s="95"/>
      <c r="G2095" s="96">
        <v>48.005099999999999</v>
      </c>
      <c r="H2095" s="97"/>
      <c r="I2095" s="95"/>
      <c r="J2095" s="95"/>
      <c r="K2095" s="95"/>
      <c r="L2095" s="95"/>
      <c r="M2095" s="95"/>
      <c r="N2095" s="95"/>
      <c r="O2095" s="95"/>
      <c r="P2095" s="95"/>
    </row>
    <row r="2096" spans="1:76" s="81" customFormat="1" ht="25.5" x14ac:dyDescent="0.25">
      <c r="A2096" s="66" t="s">
        <v>2799</v>
      </c>
      <c r="B2096" s="72" t="s">
        <v>55</v>
      </c>
      <c r="C2096" s="72" t="s">
        <v>2789</v>
      </c>
      <c r="D2096" s="174" t="s">
        <v>2790</v>
      </c>
      <c r="E2096" s="174"/>
      <c r="F2096" s="72" t="s">
        <v>192</v>
      </c>
      <c r="G2096" s="90">
        <v>594.18799999999999</v>
      </c>
      <c r="H2096" s="91"/>
      <c r="I2096" s="103">
        <v>21</v>
      </c>
      <c r="J2096" s="90">
        <f>ROUND(G2096*AO2096,2)</f>
        <v>0</v>
      </c>
      <c r="K2096" s="90">
        <f>ROUND(G2096*AP2096,2)</f>
        <v>0</v>
      </c>
      <c r="L2096" s="90">
        <f>ROUND(G2096*H2096,2)</f>
        <v>0</v>
      </c>
      <c r="M2096" s="90">
        <f>L2096*(1+BW2096/100)</f>
        <v>0</v>
      </c>
      <c r="N2096" s="90">
        <v>0</v>
      </c>
      <c r="O2096" s="90">
        <f>G2096*N2096</f>
        <v>0</v>
      </c>
      <c r="P2096" s="92" t="s">
        <v>64</v>
      </c>
      <c r="Z2096" s="93">
        <f>ROUND(IF(AQ2096="5",BJ2096,0),2)</f>
        <v>0</v>
      </c>
      <c r="AB2096" s="93">
        <f>ROUND(IF(AQ2096="1",BH2096,0),2)</f>
        <v>0</v>
      </c>
      <c r="AC2096" s="93">
        <f>ROUND(IF(AQ2096="1",BI2096,0),2)</f>
        <v>0</v>
      </c>
      <c r="AD2096" s="93">
        <f>ROUND(IF(AQ2096="7",BH2096,0),2)</f>
        <v>0</v>
      </c>
      <c r="AE2096" s="93">
        <f>ROUND(IF(AQ2096="7",BI2096,0),2)</f>
        <v>0</v>
      </c>
      <c r="AF2096" s="93">
        <f>ROUND(IF(AQ2096="2",BH2096,0),2)</f>
        <v>0</v>
      </c>
      <c r="AG2096" s="93">
        <f>ROUND(IF(AQ2096="2",BI2096,0),2)</f>
        <v>0</v>
      </c>
      <c r="AH2096" s="93">
        <f>ROUND(IF(AQ2096="0",BJ2096,0),2)</f>
        <v>0</v>
      </c>
      <c r="AI2096" s="88" t="s">
        <v>55</v>
      </c>
      <c r="AJ2096" s="93">
        <f>IF(AN2096=0,L2096,0)</f>
        <v>0</v>
      </c>
      <c r="AK2096" s="93">
        <f>IF(AN2096=12,L2096,0)</f>
        <v>0</v>
      </c>
      <c r="AL2096" s="93">
        <f>IF(AN2096=21,L2096,0)</f>
        <v>0</v>
      </c>
      <c r="AN2096" s="93">
        <v>21</v>
      </c>
      <c r="AO2096" s="93">
        <f>H2096*0</f>
        <v>0</v>
      </c>
      <c r="AP2096" s="93">
        <f>H2096*(1-0)</f>
        <v>0</v>
      </c>
      <c r="AQ2096" s="94" t="s">
        <v>148</v>
      </c>
      <c r="AV2096" s="93">
        <f>ROUND(AW2096+AX2096,2)</f>
        <v>0</v>
      </c>
      <c r="AW2096" s="93">
        <f>ROUND(G2096*AO2096,2)</f>
        <v>0</v>
      </c>
      <c r="AX2096" s="93">
        <f>ROUND(G2096*AP2096,2)</f>
        <v>0</v>
      </c>
      <c r="AY2096" s="94" t="s">
        <v>2740</v>
      </c>
      <c r="AZ2096" s="94" t="s">
        <v>2705</v>
      </c>
      <c r="BA2096" s="88" t="s">
        <v>67</v>
      </c>
      <c r="BC2096" s="93">
        <f>AW2096+AX2096</f>
        <v>0</v>
      </c>
      <c r="BD2096" s="93">
        <f>H2096/(100-BE2096)*100</f>
        <v>0</v>
      </c>
      <c r="BE2096" s="93">
        <v>0</v>
      </c>
      <c r="BF2096" s="93">
        <f>O2096</f>
        <v>0</v>
      </c>
      <c r="BH2096" s="93">
        <f>G2096*AO2096</f>
        <v>0</v>
      </c>
      <c r="BI2096" s="93">
        <f>G2096*AP2096</f>
        <v>0</v>
      </c>
      <c r="BJ2096" s="93">
        <f>G2096*H2096</f>
        <v>0</v>
      </c>
      <c r="BK2096" s="93"/>
      <c r="BL2096" s="93">
        <v>776</v>
      </c>
      <c r="BW2096" s="93">
        <f>I2096</f>
        <v>21</v>
      </c>
      <c r="BX2096" s="2" t="s">
        <v>2790</v>
      </c>
    </row>
    <row r="2097" spans="1:76" s="81" customFormat="1" x14ac:dyDescent="0.25">
      <c r="A2097" s="110"/>
      <c r="B2097" s="95"/>
      <c r="C2097" s="95"/>
      <c r="D2097" s="76" t="s">
        <v>4307</v>
      </c>
      <c r="E2097" s="76" t="s">
        <v>2707</v>
      </c>
      <c r="F2097" s="95"/>
      <c r="G2097" s="96">
        <v>594.18799999999999</v>
      </c>
      <c r="H2097" s="97"/>
      <c r="I2097" s="95"/>
      <c r="J2097" s="95"/>
      <c r="K2097" s="95"/>
      <c r="L2097" s="95"/>
      <c r="M2097" s="95"/>
      <c r="N2097" s="95"/>
      <c r="O2097" s="95"/>
      <c r="P2097" s="95"/>
    </row>
    <row r="2098" spans="1:76" s="81" customFormat="1" ht="25.5" x14ac:dyDescent="0.25">
      <c r="A2098" s="66" t="s">
        <v>2804</v>
      </c>
      <c r="B2098" s="72" t="s">
        <v>55</v>
      </c>
      <c r="C2098" s="72" t="s">
        <v>2792</v>
      </c>
      <c r="D2098" s="174" t="s">
        <v>2793</v>
      </c>
      <c r="E2098" s="174"/>
      <c r="F2098" s="72" t="s">
        <v>192</v>
      </c>
      <c r="G2098" s="90">
        <v>0.51</v>
      </c>
      <c r="H2098" s="91"/>
      <c r="I2098" s="103">
        <v>21</v>
      </c>
      <c r="J2098" s="90">
        <f>ROUND(G2098*AO2098,2)</f>
        <v>0</v>
      </c>
      <c r="K2098" s="90">
        <f>ROUND(G2098*AP2098,2)</f>
        <v>0</v>
      </c>
      <c r="L2098" s="90">
        <f>ROUND(G2098*H2098,2)</f>
        <v>0</v>
      </c>
      <c r="M2098" s="90">
        <f>L2098*(1+BW2098/100)</f>
        <v>0</v>
      </c>
      <c r="N2098" s="90">
        <v>1.7999999999999999E-2</v>
      </c>
      <c r="O2098" s="90">
        <f>G2098*N2098</f>
        <v>9.1799999999999989E-3</v>
      </c>
      <c r="P2098" s="92" t="s">
        <v>64</v>
      </c>
      <c r="Z2098" s="93">
        <f>ROUND(IF(AQ2098="5",BJ2098,0),2)</f>
        <v>0</v>
      </c>
      <c r="AB2098" s="93">
        <f>ROUND(IF(AQ2098="1",BH2098,0),2)</f>
        <v>0</v>
      </c>
      <c r="AC2098" s="93">
        <f>ROUND(IF(AQ2098="1",BI2098,0),2)</f>
        <v>0</v>
      </c>
      <c r="AD2098" s="93">
        <f>ROUND(IF(AQ2098="7",BH2098,0),2)</f>
        <v>0</v>
      </c>
      <c r="AE2098" s="93">
        <f>ROUND(IF(AQ2098="7",BI2098,0),2)</f>
        <v>0</v>
      </c>
      <c r="AF2098" s="93">
        <f>ROUND(IF(AQ2098="2",BH2098,0),2)</f>
        <v>0</v>
      </c>
      <c r="AG2098" s="93">
        <f>ROUND(IF(AQ2098="2",BI2098,0),2)</f>
        <v>0</v>
      </c>
      <c r="AH2098" s="93">
        <f>ROUND(IF(AQ2098="0",BJ2098,0),2)</f>
        <v>0</v>
      </c>
      <c r="AI2098" s="88" t="s">
        <v>55</v>
      </c>
      <c r="AJ2098" s="93">
        <f>IF(AN2098=0,L2098,0)</f>
        <v>0</v>
      </c>
      <c r="AK2098" s="93">
        <f>IF(AN2098=12,L2098,0)</f>
        <v>0</v>
      </c>
      <c r="AL2098" s="93">
        <f>IF(AN2098=21,L2098,0)</f>
        <v>0</v>
      </c>
      <c r="AN2098" s="93">
        <v>21</v>
      </c>
      <c r="AO2098" s="93">
        <f>H2098*0.996918921</f>
        <v>0</v>
      </c>
      <c r="AP2098" s="93">
        <f>H2098*(1-0.996918921)</f>
        <v>0</v>
      </c>
      <c r="AQ2098" s="94" t="s">
        <v>148</v>
      </c>
      <c r="AV2098" s="93">
        <f>ROUND(AW2098+AX2098,2)</f>
        <v>0</v>
      </c>
      <c r="AW2098" s="93">
        <f>ROUND(G2098*AO2098,2)</f>
        <v>0</v>
      </c>
      <c r="AX2098" s="93">
        <f>ROUND(G2098*AP2098,2)</f>
        <v>0</v>
      </c>
      <c r="AY2098" s="94" t="s">
        <v>2740</v>
      </c>
      <c r="AZ2098" s="94" t="s">
        <v>2705</v>
      </c>
      <c r="BA2098" s="88" t="s">
        <v>67</v>
      </c>
      <c r="BC2098" s="93">
        <f>AW2098+AX2098</f>
        <v>0</v>
      </c>
      <c r="BD2098" s="93">
        <f>H2098/(100-BE2098)*100</f>
        <v>0</v>
      </c>
      <c r="BE2098" s="93">
        <v>0</v>
      </c>
      <c r="BF2098" s="93">
        <f>O2098</f>
        <v>9.1799999999999989E-3</v>
      </c>
      <c r="BH2098" s="93">
        <f>G2098*AO2098</f>
        <v>0</v>
      </c>
      <c r="BI2098" s="93">
        <f>G2098*AP2098</f>
        <v>0</v>
      </c>
      <c r="BJ2098" s="93">
        <f>G2098*H2098</f>
        <v>0</v>
      </c>
      <c r="BK2098" s="93"/>
      <c r="BL2098" s="93">
        <v>776</v>
      </c>
      <c r="BW2098" s="93">
        <f>I2098</f>
        <v>21</v>
      </c>
      <c r="BX2098" s="2" t="s">
        <v>2793</v>
      </c>
    </row>
    <row r="2099" spans="1:76" s="81" customFormat="1" x14ac:dyDescent="0.25">
      <c r="A2099" s="110"/>
      <c r="B2099" s="95"/>
      <c r="C2099" s="95"/>
      <c r="D2099" s="76" t="s">
        <v>2794</v>
      </c>
      <c r="E2099" s="76" t="s">
        <v>2795</v>
      </c>
      <c r="F2099" s="95"/>
      <c r="G2099" s="96">
        <v>0.51</v>
      </c>
      <c r="H2099" s="97"/>
      <c r="I2099" s="95"/>
      <c r="J2099" s="95"/>
      <c r="K2099" s="95"/>
      <c r="L2099" s="95"/>
      <c r="M2099" s="95"/>
      <c r="N2099" s="95"/>
      <c r="O2099" s="95"/>
      <c r="P2099" s="95"/>
    </row>
    <row r="2100" spans="1:76" s="81" customFormat="1" ht="25.5" x14ac:dyDescent="0.25">
      <c r="A2100" s="66" t="s">
        <v>2835</v>
      </c>
      <c r="B2100" s="72" t="s">
        <v>55</v>
      </c>
      <c r="C2100" s="72" t="s">
        <v>2792</v>
      </c>
      <c r="D2100" s="174" t="s">
        <v>2797</v>
      </c>
      <c r="E2100" s="174"/>
      <c r="F2100" s="72" t="s">
        <v>192</v>
      </c>
      <c r="G2100" s="90">
        <v>1.1850000000000001</v>
      </c>
      <c r="H2100" s="91"/>
      <c r="I2100" s="103">
        <v>21</v>
      </c>
      <c r="J2100" s="90">
        <f>ROUND(G2100*AO2100,2)</f>
        <v>0</v>
      </c>
      <c r="K2100" s="90">
        <f>ROUND(G2100*AP2100,2)</f>
        <v>0</v>
      </c>
      <c r="L2100" s="90">
        <f>ROUND(G2100*H2100,2)</f>
        <v>0</v>
      </c>
      <c r="M2100" s="90">
        <f>L2100*(1+BW2100/100)</f>
        <v>0</v>
      </c>
      <c r="N2100" s="90">
        <v>1.7999999999999999E-2</v>
      </c>
      <c r="O2100" s="90">
        <f>G2100*N2100</f>
        <v>2.1329999999999998E-2</v>
      </c>
      <c r="P2100" s="92" t="s">
        <v>64</v>
      </c>
      <c r="Z2100" s="93">
        <f>ROUND(IF(AQ2100="5",BJ2100,0),2)</f>
        <v>0</v>
      </c>
      <c r="AB2100" s="93">
        <f>ROUND(IF(AQ2100="1",BH2100,0),2)</f>
        <v>0</v>
      </c>
      <c r="AC2100" s="93">
        <f>ROUND(IF(AQ2100="1",BI2100,0),2)</f>
        <v>0</v>
      </c>
      <c r="AD2100" s="93">
        <f>ROUND(IF(AQ2100="7",BH2100,0),2)</f>
        <v>0</v>
      </c>
      <c r="AE2100" s="93">
        <f>ROUND(IF(AQ2100="7",BI2100,0),2)</f>
        <v>0</v>
      </c>
      <c r="AF2100" s="93">
        <f>ROUND(IF(AQ2100="2",BH2100,0),2)</f>
        <v>0</v>
      </c>
      <c r="AG2100" s="93">
        <f>ROUND(IF(AQ2100="2",BI2100,0),2)</f>
        <v>0</v>
      </c>
      <c r="AH2100" s="93">
        <f>ROUND(IF(AQ2100="0",BJ2100,0),2)</f>
        <v>0</v>
      </c>
      <c r="AI2100" s="88" t="s">
        <v>55</v>
      </c>
      <c r="AJ2100" s="93">
        <f>IF(AN2100=0,L2100,0)</f>
        <v>0</v>
      </c>
      <c r="AK2100" s="93">
        <f>IF(AN2100=12,L2100,0)</f>
        <v>0</v>
      </c>
      <c r="AL2100" s="93">
        <f>IF(AN2100=21,L2100,0)</f>
        <v>0</v>
      </c>
      <c r="AN2100" s="93">
        <v>21</v>
      </c>
      <c r="AO2100" s="93">
        <f>H2100*0.996918841</f>
        <v>0</v>
      </c>
      <c r="AP2100" s="93">
        <f>H2100*(1-0.996918841)</f>
        <v>0</v>
      </c>
      <c r="AQ2100" s="94" t="s">
        <v>148</v>
      </c>
      <c r="AV2100" s="93">
        <f>ROUND(AW2100+AX2100,2)</f>
        <v>0</v>
      </c>
      <c r="AW2100" s="93">
        <f>ROUND(G2100*AO2100,2)</f>
        <v>0</v>
      </c>
      <c r="AX2100" s="93">
        <f>ROUND(G2100*AP2100,2)</f>
        <v>0</v>
      </c>
      <c r="AY2100" s="94" t="s">
        <v>2740</v>
      </c>
      <c r="AZ2100" s="94" t="s">
        <v>2705</v>
      </c>
      <c r="BA2100" s="88" t="s">
        <v>67</v>
      </c>
      <c r="BC2100" s="93">
        <f>AW2100+AX2100</f>
        <v>0</v>
      </c>
      <c r="BD2100" s="93">
        <f>H2100/(100-BE2100)*100</f>
        <v>0</v>
      </c>
      <c r="BE2100" s="93">
        <v>0</v>
      </c>
      <c r="BF2100" s="93">
        <f>O2100</f>
        <v>2.1329999999999998E-2</v>
      </c>
      <c r="BH2100" s="93">
        <f>G2100*AO2100</f>
        <v>0</v>
      </c>
      <c r="BI2100" s="93">
        <f>G2100*AP2100</f>
        <v>0</v>
      </c>
      <c r="BJ2100" s="93">
        <f>G2100*H2100</f>
        <v>0</v>
      </c>
      <c r="BK2100" s="93"/>
      <c r="BL2100" s="93">
        <v>776</v>
      </c>
      <c r="BW2100" s="93">
        <f>I2100</f>
        <v>21</v>
      </c>
      <c r="BX2100" s="2" t="s">
        <v>2797</v>
      </c>
    </row>
    <row r="2101" spans="1:76" s="81" customFormat="1" x14ac:dyDescent="0.25">
      <c r="A2101" s="110"/>
      <c r="B2101" s="95"/>
      <c r="C2101" s="95"/>
      <c r="D2101" s="76" t="s">
        <v>2798</v>
      </c>
      <c r="E2101" s="76" t="s">
        <v>2795</v>
      </c>
      <c r="F2101" s="95"/>
      <c r="G2101" s="96">
        <v>1.1850000000000001</v>
      </c>
      <c r="H2101" s="97"/>
      <c r="I2101" s="95"/>
      <c r="J2101" s="95"/>
      <c r="K2101" s="95"/>
      <c r="L2101" s="95"/>
      <c r="M2101" s="95"/>
      <c r="N2101" s="95"/>
      <c r="O2101" s="95"/>
      <c r="P2101" s="95"/>
    </row>
    <row r="2102" spans="1:76" s="81" customFormat="1" ht="25.5" x14ac:dyDescent="0.25">
      <c r="A2102" s="66" t="s">
        <v>2838</v>
      </c>
      <c r="B2102" s="72" t="s">
        <v>55</v>
      </c>
      <c r="C2102" s="72" t="s">
        <v>2800</v>
      </c>
      <c r="D2102" s="174" t="s">
        <v>2801</v>
      </c>
      <c r="E2102" s="174"/>
      <c r="F2102" s="72" t="s">
        <v>1447</v>
      </c>
      <c r="G2102" s="91"/>
      <c r="H2102" s="91"/>
      <c r="I2102" s="103">
        <v>21</v>
      </c>
      <c r="J2102" s="90">
        <f>ROUND(G2102*AO2102,2)</f>
        <v>0</v>
      </c>
      <c r="K2102" s="90">
        <f>ROUND(G2102*AP2102,2)</f>
        <v>0</v>
      </c>
      <c r="L2102" s="90">
        <f>ROUND(G2102*H2102,2)</f>
        <v>0</v>
      </c>
      <c r="M2102" s="90">
        <f>L2102*(1+BW2102/100)</f>
        <v>0</v>
      </c>
      <c r="N2102" s="90">
        <v>0</v>
      </c>
      <c r="O2102" s="90">
        <f>G2102*N2102</f>
        <v>0</v>
      </c>
      <c r="P2102" s="92" t="s">
        <v>64</v>
      </c>
      <c r="Z2102" s="93">
        <f>ROUND(IF(AQ2102="5",BJ2102,0),2)</f>
        <v>0</v>
      </c>
      <c r="AB2102" s="93">
        <f>ROUND(IF(AQ2102="1",BH2102,0),2)</f>
        <v>0</v>
      </c>
      <c r="AC2102" s="93">
        <f>ROUND(IF(AQ2102="1",BI2102,0),2)</f>
        <v>0</v>
      </c>
      <c r="AD2102" s="93">
        <f>ROUND(IF(AQ2102="7",BH2102,0),2)</f>
        <v>0</v>
      </c>
      <c r="AE2102" s="93">
        <f>ROUND(IF(AQ2102="7",BI2102,0),2)</f>
        <v>0</v>
      </c>
      <c r="AF2102" s="93">
        <f>ROUND(IF(AQ2102="2",BH2102,0),2)</f>
        <v>0</v>
      </c>
      <c r="AG2102" s="93">
        <f>ROUND(IF(AQ2102="2",BI2102,0),2)</f>
        <v>0</v>
      </c>
      <c r="AH2102" s="93">
        <f>ROUND(IF(AQ2102="0",BJ2102,0),2)</f>
        <v>0</v>
      </c>
      <c r="AI2102" s="88" t="s">
        <v>55</v>
      </c>
      <c r="AJ2102" s="93">
        <f>IF(AN2102=0,L2102,0)</f>
        <v>0</v>
      </c>
      <c r="AK2102" s="93">
        <f>IF(AN2102=12,L2102,0)</f>
        <v>0</v>
      </c>
      <c r="AL2102" s="93">
        <f>IF(AN2102=21,L2102,0)</f>
        <v>0</v>
      </c>
      <c r="AN2102" s="93">
        <v>21</v>
      </c>
      <c r="AO2102" s="93">
        <f>H2102*0</f>
        <v>0</v>
      </c>
      <c r="AP2102" s="93">
        <f>H2102*(1-0)</f>
        <v>0</v>
      </c>
      <c r="AQ2102" s="94" t="s">
        <v>136</v>
      </c>
      <c r="AV2102" s="93">
        <f>ROUND(AW2102+AX2102,2)</f>
        <v>0</v>
      </c>
      <c r="AW2102" s="93">
        <f>ROUND(G2102*AO2102,2)</f>
        <v>0</v>
      </c>
      <c r="AX2102" s="93">
        <f>ROUND(G2102*AP2102,2)</f>
        <v>0</v>
      </c>
      <c r="AY2102" s="94" t="s">
        <v>2740</v>
      </c>
      <c r="AZ2102" s="94" t="s">
        <v>2705</v>
      </c>
      <c r="BA2102" s="88" t="s">
        <v>67</v>
      </c>
      <c r="BC2102" s="93">
        <f>AW2102+AX2102</f>
        <v>0</v>
      </c>
      <c r="BD2102" s="93">
        <f>H2102/(100-BE2102)*100</f>
        <v>0</v>
      </c>
      <c r="BE2102" s="93">
        <v>0</v>
      </c>
      <c r="BF2102" s="93">
        <f>O2102</f>
        <v>0</v>
      </c>
      <c r="BH2102" s="93">
        <f>G2102*AO2102</f>
        <v>0</v>
      </c>
      <c r="BI2102" s="93">
        <f>G2102*AP2102</f>
        <v>0</v>
      </c>
      <c r="BJ2102" s="93">
        <f>G2102*H2102</f>
        <v>0</v>
      </c>
      <c r="BK2102" s="93"/>
      <c r="BL2102" s="93">
        <v>776</v>
      </c>
      <c r="BW2102" s="93">
        <f>I2102</f>
        <v>21</v>
      </c>
      <c r="BX2102" s="2" t="s">
        <v>2801</v>
      </c>
    </row>
    <row r="2103" spans="1:76" s="81" customFormat="1" x14ac:dyDescent="0.25">
      <c r="A2103" s="109" t="s">
        <v>54</v>
      </c>
      <c r="B2103" s="74" t="s">
        <v>55</v>
      </c>
      <c r="C2103" s="74" t="s">
        <v>2802</v>
      </c>
      <c r="D2103" s="197" t="s">
        <v>2803</v>
      </c>
      <c r="E2103" s="198"/>
      <c r="F2103" s="85" t="s">
        <v>4</v>
      </c>
      <c r="G2103" s="85" t="s">
        <v>4</v>
      </c>
      <c r="H2103" s="85" t="s">
        <v>4</v>
      </c>
      <c r="I2103" s="85" t="s">
        <v>4</v>
      </c>
      <c r="J2103" s="86">
        <f>SUM(J2104:J2149)</f>
        <v>0</v>
      </c>
      <c r="K2103" s="86">
        <f>SUM(K2104:K2149)</f>
        <v>0</v>
      </c>
      <c r="L2103" s="86">
        <f>SUM(L2104:L2149)</f>
        <v>0</v>
      </c>
      <c r="M2103" s="86">
        <f>SUM(M2104:M2149)</f>
        <v>0</v>
      </c>
      <c r="N2103" s="87" t="s">
        <v>54</v>
      </c>
      <c r="O2103" s="86">
        <f>SUM(O2104:O2149)</f>
        <v>5.7855351915000002</v>
      </c>
      <c r="P2103" s="87" t="s">
        <v>54</v>
      </c>
      <c r="AI2103" s="88" t="s">
        <v>55</v>
      </c>
      <c r="AS2103" s="89">
        <f>SUM(AJ2104:AJ2149)</f>
        <v>0</v>
      </c>
      <c r="AT2103" s="89">
        <f>SUM(AK2104:AK2149)</f>
        <v>0</v>
      </c>
      <c r="AU2103" s="89">
        <f>SUM(AL2104:AL2149)</f>
        <v>0</v>
      </c>
    </row>
    <row r="2104" spans="1:76" s="81" customFormat="1" ht="25.5" x14ac:dyDescent="0.25">
      <c r="A2104" s="66" t="s">
        <v>2843</v>
      </c>
      <c r="B2104" s="72" t="s">
        <v>55</v>
      </c>
      <c r="C2104" s="72" t="s">
        <v>2805</v>
      </c>
      <c r="D2104" s="199" t="s">
        <v>2806</v>
      </c>
      <c r="E2104" s="200"/>
      <c r="F2104" s="72" t="s">
        <v>192</v>
      </c>
      <c r="G2104" s="90">
        <v>292.05124999999998</v>
      </c>
      <c r="H2104" s="91"/>
      <c r="I2104" s="92" t="s">
        <v>63</v>
      </c>
      <c r="J2104" s="90">
        <f>G2104*AO2104</f>
        <v>0</v>
      </c>
      <c r="K2104" s="90">
        <f>G2104*AP2104</f>
        <v>0</v>
      </c>
      <c r="L2104" s="90">
        <f>G2104*H2104</f>
        <v>0</v>
      </c>
      <c r="M2104" s="90">
        <f>L2104*(1+BW2104/100)</f>
        <v>0</v>
      </c>
      <c r="N2104" s="90">
        <v>0</v>
      </c>
      <c r="O2104" s="90">
        <f>G2104*N2104</f>
        <v>0</v>
      </c>
      <c r="P2104" s="92" t="s">
        <v>64</v>
      </c>
      <c r="Z2104" s="93">
        <f>IF(AQ2104="5",BJ2104,0)</f>
        <v>0</v>
      </c>
      <c r="AB2104" s="93">
        <f>IF(AQ2104="1",BH2104,0)</f>
        <v>0</v>
      </c>
      <c r="AC2104" s="93">
        <f>IF(AQ2104="1",BI2104,0)</f>
        <v>0</v>
      </c>
      <c r="AD2104" s="93">
        <f>IF(AQ2104="7",BH2104,0)</f>
        <v>0</v>
      </c>
      <c r="AE2104" s="93">
        <f>IF(AQ2104="7",BI2104,0)</f>
        <v>0</v>
      </c>
      <c r="AF2104" s="93">
        <f>IF(AQ2104="2",BH2104,0)</f>
        <v>0</v>
      </c>
      <c r="AG2104" s="93">
        <f>IF(AQ2104="2",BI2104,0)</f>
        <v>0</v>
      </c>
      <c r="AH2104" s="93">
        <f>IF(AQ2104="0",BJ2104,0)</f>
        <v>0</v>
      </c>
      <c r="AI2104" s="88" t="s">
        <v>55</v>
      </c>
      <c r="AJ2104" s="93">
        <f>IF(AN2104=0,L2104,0)</f>
        <v>0</v>
      </c>
      <c r="AK2104" s="93">
        <f>IF(AN2104=12,L2104,0)</f>
        <v>0</v>
      </c>
      <c r="AL2104" s="93">
        <f>IF(AN2104=21,L2104,0)</f>
        <v>0</v>
      </c>
      <c r="AN2104" s="93">
        <v>21</v>
      </c>
      <c r="AO2104" s="93">
        <f>H2104*0</f>
        <v>0</v>
      </c>
      <c r="AP2104" s="93">
        <f>H2104*(1-0)</f>
        <v>0</v>
      </c>
      <c r="AQ2104" s="94" t="s">
        <v>148</v>
      </c>
      <c r="AV2104" s="93">
        <f>AW2104+AX2104</f>
        <v>0</v>
      </c>
      <c r="AW2104" s="93">
        <f>G2104*AO2104</f>
        <v>0</v>
      </c>
      <c r="AX2104" s="93">
        <f>G2104*AP2104</f>
        <v>0</v>
      </c>
      <c r="AY2104" s="94" t="s">
        <v>2807</v>
      </c>
      <c r="AZ2104" s="94" t="s">
        <v>2808</v>
      </c>
      <c r="BA2104" s="88" t="s">
        <v>67</v>
      </c>
      <c r="BC2104" s="93">
        <f>AW2104+AX2104</f>
        <v>0</v>
      </c>
      <c r="BD2104" s="93">
        <f>H2104/(100-BE2104)*100</f>
        <v>0</v>
      </c>
      <c r="BE2104" s="93">
        <v>0</v>
      </c>
      <c r="BF2104" s="93">
        <f>O2104</f>
        <v>0</v>
      </c>
      <c r="BH2104" s="93">
        <f>G2104*AO2104</f>
        <v>0</v>
      </c>
      <c r="BI2104" s="93">
        <f>G2104*AP2104</f>
        <v>0</v>
      </c>
      <c r="BJ2104" s="93">
        <f>G2104*H2104</f>
        <v>0</v>
      </c>
      <c r="BK2104" s="93"/>
      <c r="BL2104" s="93">
        <v>781</v>
      </c>
      <c r="BW2104" s="93" t="str">
        <f>I2104</f>
        <v>21</v>
      </c>
      <c r="BX2104" s="2" t="s">
        <v>2806</v>
      </c>
    </row>
    <row r="2105" spans="1:76" s="81" customFormat="1" x14ac:dyDescent="0.25">
      <c r="A2105" s="110"/>
      <c r="B2105" s="95"/>
      <c r="C2105" s="95"/>
      <c r="D2105" s="76" t="s">
        <v>54</v>
      </c>
      <c r="E2105" s="76" t="s">
        <v>299</v>
      </c>
      <c r="F2105" s="95"/>
      <c r="G2105" s="96">
        <v>0</v>
      </c>
      <c r="H2105" s="95"/>
      <c r="I2105" s="95"/>
      <c r="J2105" s="95"/>
      <c r="K2105" s="95"/>
      <c r="L2105" s="95"/>
      <c r="M2105" s="95"/>
      <c r="N2105" s="95"/>
      <c r="O2105" s="95"/>
      <c r="P2105" s="95"/>
    </row>
    <row r="2106" spans="1:76" s="81" customFormat="1" x14ac:dyDescent="0.25">
      <c r="A2106" s="110"/>
      <c r="B2106" s="95"/>
      <c r="C2106" s="95"/>
      <c r="D2106" s="76" t="s">
        <v>2809</v>
      </c>
      <c r="E2106" s="76" t="s">
        <v>1391</v>
      </c>
      <c r="F2106" s="95"/>
      <c r="G2106" s="96">
        <v>19.05</v>
      </c>
      <c r="H2106" s="95"/>
      <c r="I2106" s="95"/>
      <c r="J2106" s="95"/>
      <c r="K2106" s="95"/>
      <c r="L2106" s="95"/>
      <c r="M2106" s="95"/>
      <c r="N2106" s="95"/>
      <c r="O2106" s="95"/>
      <c r="P2106" s="95"/>
    </row>
    <row r="2107" spans="1:76" s="81" customFormat="1" x14ac:dyDescent="0.25">
      <c r="A2107" s="110"/>
      <c r="B2107" s="95"/>
      <c r="C2107" s="95"/>
      <c r="D2107" s="76" t="s">
        <v>2810</v>
      </c>
      <c r="E2107" s="76" t="s">
        <v>2811</v>
      </c>
      <c r="F2107" s="95"/>
      <c r="G2107" s="96">
        <v>16.89</v>
      </c>
      <c r="H2107" s="95"/>
      <c r="I2107" s="95"/>
      <c r="J2107" s="95"/>
      <c r="K2107" s="95"/>
      <c r="L2107" s="95"/>
      <c r="M2107" s="95"/>
      <c r="N2107" s="95"/>
      <c r="O2107" s="95"/>
      <c r="P2107" s="95"/>
    </row>
    <row r="2108" spans="1:76" s="81" customFormat="1" x14ac:dyDescent="0.25">
      <c r="A2108" s="110"/>
      <c r="B2108" s="95"/>
      <c r="C2108" s="95"/>
      <c r="D2108" s="76" t="s">
        <v>2812</v>
      </c>
      <c r="E2108" s="76" t="s">
        <v>1393</v>
      </c>
      <c r="F2108" s="95"/>
      <c r="G2108" s="96">
        <v>18.93</v>
      </c>
      <c r="H2108" s="95"/>
      <c r="I2108" s="95"/>
      <c r="J2108" s="95"/>
      <c r="K2108" s="95"/>
      <c r="L2108" s="95"/>
      <c r="M2108" s="95"/>
      <c r="N2108" s="95"/>
      <c r="O2108" s="95"/>
      <c r="P2108" s="95"/>
    </row>
    <row r="2109" spans="1:76" s="81" customFormat="1" x14ac:dyDescent="0.25">
      <c r="A2109" s="110"/>
      <c r="B2109" s="95"/>
      <c r="C2109" s="95"/>
      <c r="D2109" s="76" t="s">
        <v>2813</v>
      </c>
      <c r="E2109" s="76" t="s">
        <v>2814</v>
      </c>
      <c r="F2109" s="95"/>
      <c r="G2109" s="96">
        <v>17.010000000000002</v>
      </c>
      <c r="H2109" s="95"/>
      <c r="I2109" s="95"/>
      <c r="J2109" s="95"/>
      <c r="K2109" s="95"/>
      <c r="L2109" s="95"/>
      <c r="M2109" s="95"/>
      <c r="N2109" s="95"/>
      <c r="O2109" s="95"/>
      <c r="P2109" s="95"/>
    </row>
    <row r="2110" spans="1:76" s="81" customFormat="1" x14ac:dyDescent="0.25">
      <c r="A2110" s="110"/>
      <c r="B2110" s="95"/>
      <c r="C2110" s="95"/>
      <c r="D2110" s="76" t="s">
        <v>2815</v>
      </c>
      <c r="E2110" s="76" t="s">
        <v>2816</v>
      </c>
      <c r="F2110" s="95"/>
      <c r="G2110" s="96">
        <v>13.89</v>
      </c>
      <c r="H2110" s="95"/>
      <c r="I2110" s="95"/>
      <c r="J2110" s="95"/>
      <c r="K2110" s="95"/>
      <c r="L2110" s="95"/>
      <c r="M2110" s="95"/>
      <c r="N2110" s="95"/>
      <c r="O2110" s="95"/>
      <c r="P2110" s="95"/>
    </row>
    <row r="2111" spans="1:76" s="81" customFormat="1" x14ac:dyDescent="0.25">
      <c r="A2111" s="110"/>
      <c r="B2111" s="95"/>
      <c r="C2111" s="95"/>
      <c r="D2111" s="76" t="s">
        <v>2817</v>
      </c>
      <c r="E2111" s="76" t="s">
        <v>1395</v>
      </c>
      <c r="F2111" s="95"/>
      <c r="G2111" s="96">
        <v>18.690000000000001</v>
      </c>
      <c r="H2111" s="95"/>
      <c r="I2111" s="95"/>
      <c r="J2111" s="95"/>
      <c r="K2111" s="95"/>
      <c r="L2111" s="95"/>
      <c r="M2111" s="95"/>
      <c r="N2111" s="95"/>
      <c r="O2111" s="95"/>
      <c r="P2111" s="95"/>
    </row>
    <row r="2112" spans="1:76" s="81" customFormat="1" ht="25.5" x14ac:dyDescent="0.25">
      <c r="A2112" s="110"/>
      <c r="B2112" s="95"/>
      <c r="C2112" s="95"/>
      <c r="D2112" s="76" t="s">
        <v>2818</v>
      </c>
      <c r="E2112" s="76" t="s">
        <v>1139</v>
      </c>
      <c r="F2112" s="95"/>
      <c r="G2112" s="96">
        <v>53.396500000000003</v>
      </c>
      <c r="H2112" s="95"/>
      <c r="I2112" s="95"/>
      <c r="J2112" s="95"/>
      <c r="K2112" s="95"/>
      <c r="L2112" s="95"/>
      <c r="M2112" s="95"/>
      <c r="N2112" s="95"/>
      <c r="O2112" s="95"/>
      <c r="P2112" s="95"/>
    </row>
    <row r="2113" spans="1:76" s="81" customFormat="1" x14ac:dyDescent="0.25">
      <c r="A2113" s="110"/>
      <c r="B2113" s="95"/>
      <c r="C2113" s="95"/>
      <c r="D2113" s="76" t="s">
        <v>2819</v>
      </c>
      <c r="E2113" s="76" t="s">
        <v>2820</v>
      </c>
      <c r="F2113" s="95"/>
      <c r="G2113" s="96">
        <v>8.61</v>
      </c>
      <c r="H2113" s="95"/>
      <c r="I2113" s="95"/>
      <c r="J2113" s="95"/>
      <c r="K2113" s="95"/>
      <c r="L2113" s="95"/>
      <c r="M2113" s="95"/>
      <c r="N2113" s="95"/>
      <c r="O2113" s="95"/>
      <c r="P2113" s="95"/>
    </row>
    <row r="2114" spans="1:76" s="81" customFormat="1" x14ac:dyDescent="0.25">
      <c r="A2114" s="110"/>
      <c r="B2114" s="95"/>
      <c r="C2114" s="95"/>
      <c r="D2114" s="76" t="s">
        <v>2821</v>
      </c>
      <c r="E2114" s="76" t="s">
        <v>2822</v>
      </c>
      <c r="F2114" s="95"/>
      <c r="G2114" s="96">
        <v>4.8697499999999998</v>
      </c>
      <c r="H2114" s="95"/>
      <c r="I2114" s="95"/>
      <c r="J2114" s="95"/>
      <c r="K2114" s="95"/>
      <c r="L2114" s="95"/>
      <c r="M2114" s="95"/>
      <c r="N2114" s="95"/>
      <c r="O2114" s="95"/>
      <c r="P2114" s="95"/>
    </row>
    <row r="2115" spans="1:76" s="81" customFormat="1" x14ac:dyDescent="0.25">
      <c r="A2115" s="110"/>
      <c r="B2115" s="95"/>
      <c r="C2115" s="95"/>
      <c r="D2115" s="76" t="s">
        <v>54</v>
      </c>
      <c r="E2115" s="76" t="s">
        <v>308</v>
      </c>
      <c r="F2115" s="95"/>
      <c r="G2115" s="96">
        <v>0</v>
      </c>
      <c r="H2115" s="95"/>
      <c r="I2115" s="95"/>
      <c r="J2115" s="95"/>
      <c r="K2115" s="95"/>
      <c r="L2115" s="95"/>
      <c r="M2115" s="95"/>
      <c r="N2115" s="95"/>
      <c r="O2115" s="95"/>
      <c r="P2115" s="95"/>
    </row>
    <row r="2116" spans="1:76" s="81" customFormat="1" x14ac:dyDescent="0.25">
      <c r="A2116" s="110"/>
      <c r="B2116" s="95"/>
      <c r="C2116" s="95"/>
      <c r="D2116" s="76" t="s">
        <v>2823</v>
      </c>
      <c r="E2116" s="76" t="s">
        <v>2824</v>
      </c>
      <c r="F2116" s="95"/>
      <c r="G2116" s="96">
        <v>13.28</v>
      </c>
      <c r="H2116" s="95"/>
      <c r="I2116" s="95"/>
      <c r="J2116" s="95"/>
      <c r="K2116" s="95"/>
      <c r="L2116" s="95"/>
      <c r="M2116" s="95"/>
      <c r="N2116" s="95"/>
      <c r="O2116" s="95"/>
      <c r="P2116" s="95"/>
    </row>
    <row r="2117" spans="1:76" s="81" customFormat="1" x14ac:dyDescent="0.25">
      <c r="A2117" s="110"/>
      <c r="B2117" s="95"/>
      <c r="C2117" s="95"/>
      <c r="D2117" s="76" t="s">
        <v>2825</v>
      </c>
      <c r="E2117" s="76" t="s">
        <v>1397</v>
      </c>
      <c r="F2117" s="95"/>
      <c r="G2117" s="96">
        <v>17.13</v>
      </c>
      <c r="H2117" s="95"/>
      <c r="I2117" s="95"/>
      <c r="J2117" s="95"/>
      <c r="K2117" s="95"/>
      <c r="L2117" s="95"/>
      <c r="M2117" s="95"/>
      <c r="N2117" s="95"/>
      <c r="O2117" s="95"/>
      <c r="P2117" s="95"/>
    </row>
    <row r="2118" spans="1:76" s="81" customFormat="1" x14ac:dyDescent="0.25">
      <c r="A2118" s="110"/>
      <c r="B2118" s="95"/>
      <c r="C2118" s="95"/>
      <c r="D2118" s="76" t="s">
        <v>2826</v>
      </c>
      <c r="E2118" s="76" t="s">
        <v>2827</v>
      </c>
      <c r="F2118" s="95"/>
      <c r="G2118" s="96">
        <v>12.505000000000001</v>
      </c>
      <c r="H2118" s="95"/>
      <c r="I2118" s="95"/>
      <c r="J2118" s="95"/>
      <c r="K2118" s="95"/>
      <c r="L2118" s="95"/>
      <c r="M2118" s="95"/>
      <c r="N2118" s="95"/>
      <c r="O2118" s="95"/>
      <c r="P2118" s="95"/>
    </row>
    <row r="2119" spans="1:76" s="81" customFormat="1" x14ac:dyDescent="0.25">
      <c r="A2119" s="110"/>
      <c r="B2119" s="95"/>
      <c r="C2119" s="95"/>
      <c r="D2119" s="76" t="s">
        <v>2828</v>
      </c>
      <c r="E2119" s="76" t="s">
        <v>1399</v>
      </c>
      <c r="F2119" s="95"/>
      <c r="G2119" s="96">
        <v>17.13</v>
      </c>
      <c r="H2119" s="95"/>
      <c r="I2119" s="95"/>
      <c r="J2119" s="95"/>
      <c r="K2119" s="95"/>
      <c r="L2119" s="95"/>
      <c r="M2119" s="95"/>
      <c r="N2119" s="95"/>
      <c r="O2119" s="95"/>
      <c r="P2119" s="95"/>
    </row>
    <row r="2120" spans="1:76" s="81" customFormat="1" x14ac:dyDescent="0.25">
      <c r="A2120" s="110"/>
      <c r="B2120" s="95"/>
      <c r="C2120" s="95"/>
      <c r="D2120" s="76" t="s">
        <v>2829</v>
      </c>
      <c r="E2120" s="76" t="s">
        <v>2830</v>
      </c>
      <c r="F2120" s="95"/>
      <c r="G2120" s="96">
        <v>12.255000000000001</v>
      </c>
      <c r="H2120" s="95"/>
      <c r="I2120" s="95"/>
      <c r="J2120" s="95"/>
      <c r="K2120" s="95"/>
      <c r="L2120" s="95"/>
      <c r="M2120" s="95"/>
      <c r="N2120" s="95"/>
      <c r="O2120" s="95"/>
      <c r="P2120" s="95"/>
    </row>
    <row r="2121" spans="1:76" s="81" customFormat="1" x14ac:dyDescent="0.25">
      <c r="A2121" s="110"/>
      <c r="B2121" s="95"/>
      <c r="C2121" s="95"/>
      <c r="D2121" s="76" t="s">
        <v>2831</v>
      </c>
      <c r="E2121" s="76" t="s">
        <v>1401</v>
      </c>
      <c r="F2121" s="95"/>
      <c r="G2121" s="96">
        <v>15.53</v>
      </c>
      <c r="H2121" s="95"/>
      <c r="I2121" s="95"/>
      <c r="J2121" s="95"/>
      <c r="K2121" s="95"/>
      <c r="L2121" s="95"/>
      <c r="M2121" s="95"/>
      <c r="N2121" s="95"/>
      <c r="O2121" s="95"/>
      <c r="P2121" s="95"/>
    </row>
    <row r="2122" spans="1:76" s="81" customFormat="1" x14ac:dyDescent="0.25">
      <c r="A2122" s="110"/>
      <c r="B2122" s="95"/>
      <c r="C2122" s="95"/>
      <c r="D2122" s="76" t="s">
        <v>2832</v>
      </c>
      <c r="E2122" s="76" t="s">
        <v>2833</v>
      </c>
      <c r="F2122" s="95"/>
      <c r="G2122" s="96">
        <v>13.28</v>
      </c>
      <c r="H2122" s="95"/>
      <c r="I2122" s="95"/>
      <c r="J2122" s="95"/>
      <c r="K2122" s="95"/>
      <c r="L2122" s="95"/>
      <c r="M2122" s="95"/>
      <c r="N2122" s="95"/>
      <c r="O2122" s="95"/>
      <c r="P2122" s="95"/>
    </row>
    <row r="2123" spans="1:76" s="81" customFormat="1" x14ac:dyDescent="0.25">
      <c r="A2123" s="110"/>
      <c r="B2123" s="95"/>
      <c r="C2123" s="95"/>
      <c r="D2123" s="76" t="s">
        <v>2834</v>
      </c>
      <c r="E2123" s="76" t="s">
        <v>1403</v>
      </c>
      <c r="F2123" s="95"/>
      <c r="G2123" s="96">
        <v>19.605</v>
      </c>
      <c r="H2123" s="95"/>
      <c r="I2123" s="95"/>
      <c r="J2123" s="95"/>
      <c r="K2123" s="95"/>
      <c r="L2123" s="95"/>
      <c r="M2123" s="95"/>
      <c r="N2123" s="95"/>
      <c r="O2123" s="95"/>
      <c r="P2123" s="95"/>
    </row>
    <row r="2124" spans="1:76" s="81" customFormat="1" ht="25.5" x14ac:dyDescent="0.25">
      <c r="A2124" s="66" t="s">
        <v>2847</v>
      </c>
      <c r="B2124" s="72" t="s">
        <v>55</v>
      </c>
      <c r="C2124" s="72" t="s">
        <v>2836</v>
      </c>
      <c r="D2124" s="174" t="s">
        <v>2837</v>
      </c>
      <c r="E2124" s="174"/>
      <c r="F2124" s="72" t="s">
        <v>192</v>
      </c>
      <c r="G2124" s="90">
        <v>292.05124999999998</v>
      </c>
      <c r="H2124" s="91"/>
      <c r="I2124" s="92" t="s">
        <v>63</v>
      </c>
      <c r="J2124" s="90">
        <f>G2124*AO2124</f>
        <v>0</v>
      </c>
      <c r="K2124" s="90">
        <f>G2124*AP2124</f>
        <v>0</v>
      </c>
      <c r="L2124" s="90">
        <f>G2124*H2124</f>
        <v>0</v>
      </c>
      <c r="M2124" s="90">
        <f>L2124*(1+BW2124/100)</f>
        <v>0</v>
      </c>
      <c r="N2124" s="90">
        <v>2.1000000000000001E-4</v>
      </c>
      <c r="O2124" s="90">
        <f>G2124*N2124</f>
        <v>6.1330762499999997E-2</v>
      </c>
      <c r="P2124" s="92" t="s">
        <v>64</v>
      </c>
      <c r="Z2124" s="93">
        <f>IF(AQ2124="5",BJ2124,0)</f>
        <v>0</v>
      </c>
      <c r="AB2124" s="93">
        <f>IF(AQ2124="1",BH2124,0)</f>
        <v>0</v>
      </c>
      <c r="AC2124" s="93">
        <f>IF(AQ2124="1",BI2124,0)</f>
        <v>0</v>
      </c>
      <c r="AD2124" s="93">
        <f>IF(AQ2124="7",BH2124,0)</f>
        <v>0</v>
      </c>
      <c r="AE2124" s="93">
        <f>IF(AQ2124="7",BI2124,0)</f>
        <v>0</v>
      </c>
      <c r="AF2124" s="93">
        <f>IF(AQ2124="2",BH2124,0)</f>
        <v>0</v>
      </c>
      <c r="AG2124" s="93">
        <f>IF(AQ2124="2",BI2124,0)</f>
        <v>0</v>
      </c>
      <c r="AH2124" s="93">
        <f>IF(AQ2124="0",BJ2124,0)</f>
        <v>0</v>
      </c>
      <c r="AI2124" s="88" t="s">
        <v>55</v>
      </c>
      <c r="AJ2124" s="93">
        <f>IF(AN2124=0,L2124,0)</f>
        <v>0</v>
      </c>
      <c r="AK2124" s="93">
        <f>IF(AN2124=12,L2124,0)</f>
        <v>0</v>
      </c>
      <c r="AL2124" s="93">
        <f>IF(AN2124=21,L2124,0)</f>
        <v>0</v>
      </c>
      <c r="AN2124" s="93">
        <v>21</v>
      </c>
      <c r="AO2124" s="93">
        <f>H2124*0.477365564</f>
        <v>0</v>
      </c>
      <c r="AP2124" s="93">
        <f>H2124*(1-0.477365564)</f>
        <v>0</v>
      </c>
      <c r="AQ2124" s="94" t="s">
        <v>148</v>
      </c>
      <c r="AV2124" s="93">
        <f>AW2124+AX2124</f>
        <v>0</v>
      </c>
      <c r="AW2124" s="93">
        <f>G2124*AO2124</f>
        <v>0</v>
      </c>
      <c r="AX2124" s="93">
        <f>G2124*AP2124</f>
        <v>0</v>
      </c>
      <c r="AY2124" s="94" t="s">
        <v>2807</v>
      </c>
      <c r="AZ2124" s="94" t="s">
        <v>2808</v>
      </c>
      <c r="BA2124" s="88" t="s">
        <v>67</v>
      </c>
      <c r="BC2124" s="93">
        <f>AW2124+AX2124</f>
        <v>0</v>
      </c>
      <c r="BD2124" s="93">
        <f>H2124/(100-BE2124)*100</f>
        <v>0</v>
      </c>
      <c r="BE2124" s="93">
        <v>0</v>
      </c>
      <c r="BF2124" s="93">
        <f>O2124</f>
        <v>6.1330762499999997E-2</v>
      </c>
      <c r="BH2124" s="93">
        <f>G2124*AO2124</f>
        <v>0</v>
      </c>
      <c r="BI2124" s="93">
        <f>G2124*AP2124</f>
        <v>0</v>
      </c>
      <c r="BJ2124" s="93">
        <f>G2124*H2124</f>
        <v>0</v>
      </c>
      <c r="BK2124" s="93"/>
      <c r="BL2124" s="93">
        <v>781</v>
      </c>
      <c r="BW2124" s="93" t="str">
        <f>I2124</f>
        <v>21</v>
      </c>
      <c r="BX2124" s="2" t="s">
        <v>2837</v>
      </c>
    </row>
    <row r="2125" spans="1:76" s="81" customFormat="1" x14ac:dyDescent="0.25">
      <c r="A2125" s="110"/>
      <c r="B2125" s="95"/>
      <c r="C2125" s="95"/>
      <c r="D2125" s="76" t="s">
        <v>54</v>
      </c>
      <c r="E2125" s="76" t="s">
        <v>299</v>
      </c>
      <c r="F2125" s="95"/>
      <c r="G2125" s="96">
        <v>0</v>
      </c>
      <c r="H2125" s="95"/>
      <c r="I2125" s="95"/>
      <c r="J2125" s="95"/>
      <c r="K2125" s="95"/>
      <c r="L2125" s="95"/>
      <c r="M2125" s="95"/>
      <c r="N2125" s="95"/>
      <c r="O2125" s="95"/>
      <c r="P2125" s="95"/>
    </row>
    <row r="2126" spans="1:76" s="81" customFormat="1" x14ac:dyDescent="0.25">
      <c r="A2126" s="110"/>
      <c r="B2126" s="95"/>
      <c r="C2126" s="95"/>
      <c r="D2126" s="76" t="s">
        <v>2809</v>
      </c>
      <c r="E2126" s="76" t="s">
        <v>1391</v>
      </c>
      <c r="F2126" s="95"/>
      <c r="G2126" s="96">
        <v>19.05</v>
      </c>
      <c r="H2126" s="95"/>
      <c r="I2126" s="95"/>
      <c r="J2126" s="95"/>
      <c r="K2126" s="95"/>
      <c r="L2126" s="95"/>
      <c r="M2126" s="95"/>
      <c r="N2126" s="95"/>
      <c r="O2126" s="95"/>
      <c r="P2126" s="95"/>
    </row>
    <row r="2127" spans="1:76" s="81" customFormat="1" x14ac:dyDescent="0.25">
      <c r="A2127" s="110"/>
      <c r="B2127" s="95"/>
      <c r="C2127" s="95"/>
      <c r="D2127" s="76" t="s">
        <v>2810</v>
      </c>
      <c r="E2127" s="76" t="s">
        <v>2811</v>
      </c>
      <c r="F2127" s="95"/>
      <c r="G2127" s="96">
        <v>16.89</v>
      </c>
      <c r="H2127" s="95"/>
      <c r="I2127" s="95"/>
      <c r="J2127" s="95"/>
      <c r="K2127" s="95"/>
      <c r="L2127" s="95"/>
      <c r="M2127" s="95"/>
      <c r="N2127" s="95"/>
      <c r="O2127" s="95"/>
      <c r="P2127" s="95"/>
    </row>
    <row r="2128" spans="1:76" s="81" customFormat="1" x14ac:dyDescent="0.25">
      <c r="A2128" s="110"/>
      <c r="B2128" s="95"/>
      <c r="C2128" s="95"/>
      <c r="D2128" s="76" t="s">
        <v>2812</v>
      </c>
      <c r="E2128" s="76" t="s">
        <v>1393</v>
      </c>
      <c r="F2128" s="95"/>
      <c r="G2128" s="96">
        <v>18.93</v>
      </c>
      <c r="H2128" s="95"/>
      <c r="I2128" s="95"/>
      <c r="J2128" s="95"/>
      <c r="K2128" s="95"/>
      <c r="L2128" s="95"/>
      <c r="M2128" s="95"/>
      <c r="N2128" s="95"/>
      <c r="O2128" s="95"/>
      <c r="P2128" s="95"/>
    </row>
    <row r="2129" spans="1:76" s="81" customFormat="1" x14ac:dyDescent="0.25">
      <c r="A2129" s="110"/>
      <c r="B2129" s="95"/>
      <c r="C2129" s="95"/>
      <c r="D2129" s="76" t="s">
        <v>2813</v>
      </c>
      <c r="E2129" s="76" t="s">
        <v>2814</v>
      </c>
      <c r="F2129" s="95"/>
      <c r="G2129" s="96">
        <v>17.010000000000002</v>
      </c>
      <c r="H2129" s="95"/>
      <c r="I2129" s="95"/>
      <c r="J2129" s="95"/>
      <c r="K2129" s="95"/>
      <c r="L2129" s="95"/>
      <c r="M2129" s="95"/>
      <c r="N2129" s="95"/>
      <c r="O2129" s="95"/>
      <c r="P2129" s="95"/>
    </row>
    <row r="2130" spans="1:76" s="81" customFormat="1" x14ac:dyDescent="0.25">
      <c r="A2130" s="110"/>
      <c r="B2130" s="95"/>
      <c r="C2130" s="95"/>
      <c r="D2130" s="76" t="s">
        <v>2815</v>
      </c>
      <c r="E2130" s="76" t="s">
        <v>2816</v>
      </c>
      <c r="F2130" s="95"/>
      <c r="G2130" s="96">
        <v>13.89</v>
      </c>
      <c r="H2130" s="95"/>
      <c r="I2130" s="95"/>
      <c r="J2130" s="95"/>
      <c r="K2130" s="95"/>
      <c r="L2130" s="95"/>
      <c r="M2130" s="95"/>
      <c r="N2130" s="95"/>
      <c r="O2130" s="95"/>
      <c r="P2130" s="95"/>
    </row>
    <row r="2131" spans="1:76" s="81" customFormat="1" x14ac:dyDescent="0.25">
      <c r="A2131" s="110"/>
      <c r="B2131" s="95"/>
      <c r="C2131" s="95"/>
      <c r="D2131" s="76" t="s">
        <v>2817</v>
      </c>
      <c r="E2131" s="76" t="s">
        <v>1395</v>
      </c>
      <c r="F2131" s="95"/>
      <c r="G2131" s="96">
        <v>18.690000000000001</v>
      </c>
      <c r="H2131" s="95"/>
      <c r="I2131" s="95"/>
      <c r="J2131" s="95"/>
      <c r="K2131" s="95"/>
      <c r="L2131" s="95"/>
      <c r="M2131" s="95"/>
      <c r="N2131" s="95"/>
      <c r="O2131" s="95"/>
      <c r="P2131" s="95"/>
    </row>
    <row r="2132" spans="1:76" s="81" customFormat="1" ht="25.5" x14ac:dyDescent="0.25">
      <c r="A2132" s="110"/>
      <c r="B2132" s="95"/>
      <c r="C2132" s="95"/>
      <c r="D2132" s="76" t="s">
        <v>2818</v>
      </c>
      <c r="E2132" s="76" t="s">
        <v>1139</v>
      </c>
      <c r="F2132" s="95"/>
      <c r="G2132" s="96">
        <v>53.396500000000003</v>
      </c>
      <c r="H2132" s="95"/>
      <c r="I2132" s="95"/>
      <c r="J2132" s="95"/>
      <c r="K2132" s="95"/>
      <c r="L2132" s="95"/>
      <c r="M2132" s="95"/>
      <c r="N2132" s="95"/>
      <c r="O2132" s="95"/>
      <c r="P2132" s="95"/>
    </row>
    <row r="2133" spans="1:76" s="81" customFormat="1" x14ac:dyDescent="0.25">
      <c r="A2133" s="110"/>
      <c r="B2133" s="95"/>
      <c r="C2133" s="95"/>
      <c r="D2133" s="76" t="s">
        <v>2819</v>
      </c>
      <c r="E2133" s="76" t="s">
        <v>2820</v>
      </c>
      <c r="F2133" s="95"/>
      <c r="G2133" s="96">
        <v>8.61</v>
      </c>
      <c r="H2133" s="95"/>
      <c r="I2133" s="95"/>
      <c r="J2133" s="95"/>
      <c r="K2133" s="95"/>
      <c r="L2133" s="95"/>
      <c r="M2133" s="95"/>
      <c r="N2133" s="95"/>
      <c r="O2133" s="95"/>
      <c r="P2133" s="95"/>
    </row>
    <row r="2134" spans="1:76" s="81" customFormat="1" x14ac:dyDescent="0.25">
      <c r="A2134" s="110"/>
      <c r="B2134" s="95"/>
      <c r="C2134" s="95"/>
      <c r="D2134" s="76" t="s">
        <v>2821</v>
      </c>
      <c r="E2134" s="76" t="s">
        <v>2822</v>
      </c>
      <c r="F2134" s="95"/>
      <c r="G2134" s="96">
        <v>4.8697499999999998</v>
      </c>
      <c r="H2134" s="95"/>
      <c r="I2134" s="95"/>
      <c r="J2134" s="95"/>
      <c r="K2134" s="95"/>
      <c r="L2134" s="95"/>
      <c r="M2134" s="95"/>
      <c r="N2134" s="95"/>
      <c r="O2134" s="95"/>
      <c r="P2134" s="95"/>
    </row>
    <row r="2135" spans="1:76" s="81" customFormat="1" x14ac:dyDescent="0.25">
      <c r="A2135" s="110"/>
      <c r="B2135" s="95"/>
      <c r="C2135" s="95"/>
      <c r="D2135" s="76" t="s">
        <v>54</v>
      </c>
      <c r="E2135" s="76" t="s">
        <v>308</v>
      </c>
      <c r="F2135" s="95"/>
      <c r="G2135" s="96">
        <v>0</v>
      </c>
      <c r="H2135" s="95"/>
      <c r="I2135" s="95"/>
      <c r="J2135" s="95"/>
      <c r="K2135" s="95"/>
      <c r="L2135" s="95"/>
      <c r="M2135" s="95"/>
      <c r="N2135" s="95"/>
      <c r="O2135" s="95"/>
      <c r="P2135" s="95"/>
    </row>
    <row r="2136" spans="1:76" s="81" customFormat="1" x14ac:dyDescent="0.25">
      <c r="A2136" s="110"/>
      <c r="B2136" s="95"/>
      <c r="C2136" s="95"/>
      <c r="D2136" s="76" t="s">
        <v>2823</v>
      </c>
      <c r="E2136" s="76" t="s">
        <v>2824</v>
      </c>
      <c r="F2136" s="95"/>
      <c r="G2136" s="96">
        <v>13.28</v>
      </c>
      <c r="H2136" s="95"/>
      <c r="I2136" s="95"/>
      <c r="J2136" s="95"/>
      <c r="K2136" s="95"/>
      <c r="L2136" s="95"/>
      <c r="M2136" s="95"/>
      <c r="N2136" s="95"/>
      <c r="O2136" s="95"/>
      <c r="P2136" s="95"/>
    </row>
    <row r="2137" spans="1:76" s="81" customFormat="1" x14ac:dyDescent="0.25">
      <c r="A2137" s="110"/>
      <c r="B2137" s="95"/>
      <c r="C2137" s="95"/>
      <c r="D2137" s="76" t="s">
        <v>2825</v>
      </c>
      <c r="E2137" s="76" t="s">
        <v>1397</v>
      </c>
      <c r="F2137" s="95"/>
      <c r="G2137" s="96">
        <v>17.13</v>
      </c>
      <c r="H2137" s="95"/>
      <c r="I2137" s="95"/>
      <c r="J2137" s="95"/>
      <c r="K2137" s="95"/>
      <c r="L2137" s="95"/>
      <c r="M2137" s="95"/>
      <c r="N2137" s="95"/>
      <c r="O2137" s="95"/>
      <c r="P2137" s="95"/>
    </row>
    <row r="2138" spans="1:76" s="81" customFormat="1" x14ac:dyDescent="0.25">
      <c r="A2138" s="110"/>
      <c r="B2138" s="95"/>
      <c r="C2138" s="95"/>
      <c r="D2138" s="76" t="s">
        <v>2826</v>
      </c>
      <c r="E2138" s="76" t="s">
        <v>2827</v>
      </c>
      <c r="F2138" s="95"/>
      <c r="G2138" s="96">
        <v>12.505000000000001</v>
      </c>
      <c r="H2138" s="95"/>
      <c r="I2138" s="95"/>
      <c r="J2138" s="95"/>
      <c r="K2138" s="95"/>
      <c r="L2138" s="95"/>
      <c r="M2138" s="95"/>
      <c r="N2138" s="95"/>
      <c r="O2138" s="95"/>
      <c r="P2138" s="95"/>
    </row>
    <row r="2139" spans="1:76" s="81" customFormat="1" x14ac:dyDescent="0.25">
      <c r="A2139" s="110"/>
      <c r="B2139" s="95"/>
      <c r="C2139" s="95"/>
      <c r="D2139" s="76" t="s">
        <v>2828</v>
      </c>
      <c r="E2139" s="76" t="s">
        <v>1399</v>
      </c>
      <c r="F2139" s="95"/>
      <c r="G2139" s="96">
        <v>17.13</v>
      </c>
      <c r="H2139" s="95"/>
      <c r="I2139" s="95"/>
      <c r="J2139" s="95"/>
      <c r="K2139" s="95"/>
      <c r="L2139" s="95"/>
      <c r="M2139" s="95"/>
      <c r="N2139" s="95"/>
      <c r="O2139" s="95"/>
      <c r="P2139" s="95"/>
    </row>
    <row r="2140" spans="1:76" s="81" customFormat="1" x14ac:dyDescent="0.25">
      <c r="A2140" s="110"/>
      <c r="B2140" s="95"/>
      <c r="C2140" s="95"/>
      <c r="D2140" s="76" t="s">
        <v>2829</v>
      </c>
      <c r="E2140" s="76" t="s">
        <v>2830</v>
      </c>
      <c r="F2140" s="95"/>
      <c r="G2140" s="96">
        <v>12.255000000000001</v>
      </c>
      <c r="H2140" s="95"/>
      <c r="I2140" s="95"/>
      <c r="J2140" s="95"/>
      <c r="K2140" s="95"/>
      <c r="L2140" s="95"/>
      <c r="M2140" s="95"/>
      <c r="N2140" s="95"/>
      <c r="O2140" s="95"/>
      <c r="P2140" s="95"/>
    </row>
    <row r="2141" spans="1:76" s="81" customFormat="1" x14ac:dyDescent="0.25">
      <c r="A2141" s="110"/>
      <c r="B2141" s="95"/>
      <c r="C2141" s="95"/>
      <c r="D2141" s="76" t="s">
        <v>2831</v>
      </c>
      <c r="E2141" s="76" t="s">
        <v>1401</v>
      </c>
      <c r="F2141" s="95"/>
      <c r="G2141" s="96">
        <v>15.53</v>
      </c>
      <c r="H2141" s="95"/>
      <c r="I2141" s="95"/>
      <c r="J2141" s="95"/>
      <c r="K2141" s="95"/>
      <c r="L2141" s="95"/>
      <c r="M2141" s="95"/>
      <c r="N2141" s="95"/>
      <c r="O2141" s="95"/>
      <c r="P2141" s="95"/>
    </row>
    <row r="2142" spans="1:76" s="81" customFormat="1" x14ac:dyDescent="0.25">
      <c r="A2142" s="110"/>
      <c r="B2142" s="95"/>
      <c r="C2142" s="95"/>
      <c r="D2142" s="76" t="s">
        <v>2832</v>
      </c>
      <c r="E2142" s="76" t="s">
        <v>2833</v>
      </c>
      <c r="F2142" s="95"/>
      <c r="G2142" s="96">
        <v>13.28</v>
      </c>
      <c r="H2142" s="95"/>
      <c r="I2142" s="95"/>
      <c r="J2142" s="95"/>
      <c r="K2142" s="95"/>
      <c r="L2142" s="95"/>
      <c r="M2142" s="95"/>
      <c r="N2142" s="95"/>
      <c r="O2142" s="95"/>
      <c r="P2142" s="95"/>
    </row>
    <row r="2143" spans="1:76" s="81" customFormat="1" x14ac:dyDescent="0.25">
      <c r="A2143" s="110"/>
      <c r="B2143" s="95"/>
      <c r="C2143" s="95"/>
      <c r="D2143" s="76" t="s">
        <v>2834</v>
      </c>
      <c r="E2143" s="76" t="s">
        <v>1403</v>
      </c>
      <c r="F2143" s="95"/>
      <c r="G2143" s="96">
        <v>19.605</v>
      </c>
      <c r="H2143" s="95"/>
      <c r="I2143" s="95"/>
      <c r="J2143" s="95"/>
      <c r="K2143" s="95"/>
      <c r="L2143" s="95"/>
      <c r="M2143" s="95"/>
      <c r="N2143" s="95"/>
      <c r="O2143" s="95"/>
      <c r="P2143" s="95"/>
    </row>
    <row r="2144" spans="1:76" s="81" customFormat="1" ht="25.5" x14ac:dyDescent="0.25">
      <c r="A2144" s="66" t="s">
        <v>2852</v>
      </c>
      <c r="B2144" s="72" t="s">
        <v>55</v>
      </c>
      <c r="C2144" s="72" t="s">
        <v>2839</v>
      </c>
      <c r="D2144" s="174" t="s">
        <v>2840</v>
      </c>
      <c r="E2144" s="174"/>
      <c r="F2144" s="72" t="s">
        <v>192</v>
      </c>
      <c r="G2144" s="90">
        <v>292.05124999999998</v>
      </c>
      <c r="H2144" s="91"/>
      <c r="I2144" s="92" t="s">
        <v>63</v>
      </c>
      <c r="J2144" s="90">
        <f>G2144*AO2144</f>
        <v>0</v>
      </c>
      <c r="K2144" s="90">
        <f>G2144*AP2144</f>
        <v>0</v>
      </c>
      <c r="L2144" s="90">
        <f>G2144*H2144</f>
        <v>0</v>
      </c>
      <c r="M2144" s="90">
        <f>L2144*(1+BW2144/100)</f>
        <v>0</v>
      </c>
      <c r="N2144" s="90">
        <v>3.98E-3</v>
      </c>
      <c r="O2144" s="90">
        <f>G2144*N2144</f>
        <v>1.1623639749999999</v>
      </c>
      <c r="P2144" s="92" t="s">
        <v>64</v>
      </c>
      <c r="Z2144" s="93">
        <f>IF(AQ2144="5",BJ2144,0)</f>
        <v>0</v>
      </c>
      <c r="AB2144" s="93">
        <f>IF(AQ2144="1",BH2144,0)</f>
        <v>0</v>
      </c>
      <c r="AC2144" s="93">
        <f>IF(AQ2144="1",BI2144,0)</f>
        <v>0</v>
      </c>
      <c r="AD2144" s="93">
        <f>IF(AQ2144="7",BH2144,0)</f>
        <v>0</v>
      </c>
      <c r="AE2144" s="93">
        <f>IF(AQ2144="7",BI2144,0)</f>
        <v>0</v>
      </c>
      <c r="AF2144" s="93">
        <f>IF(AQ2144="2",BH2144,0)</f>
        <v>0</v>
      </c>
      <c r="AG2144" s="93">
        <f>IF(AQ2144="2",BI2144,0)</f>
        <v>0</v>
      </c>
      <c r="AH2144" s="93">
        <f>IF(AQ2144="0",BJ2144,0)</f>
        <v>0</v>
      </c>
      <c r="AI2144" s="88" t="s">
        <v>55</v>
      </c>
      <c r="AJ2144" s="93">
        <f>IF(AN2144=0,L2144,0)</f>
        <v>0</v>
      </c>
      <c r="AK2144" s="93">
        <f>IF(AN2144=12,L2144,0)</f>
        <v>0</v>
      </c>
      <c r="AL2144" s="93">
        <f>IF(AN2144=21,L2144,0)</f>
        <v>0</v>
      </c>
      <c r="AN2144" s="93">
        <v>21</v>
      </c>
      <c r="AO2144" s="93">
        <f>H2144*0.323555549</f>
        <v>0</v>
      </c>
      <c r="AP2144" s="93">
        <f>H2144*(1-0.323555549)</f>
        <v>0</v>
      </c>
      <c r="AQ2144" s="94" t="s">
        <v>148</v>
      </c>
      <c r="AV2144" s="93">
        <f>AW2144+AX2144</f>
        <v>0</v>
      </c>
      <c r="AW2144" s="93">
        <f>G2144*AO2144</f>
        <v>0</v>
      </c>
      <c r="AX2144" s="93">
        <f>G2144*AP2144</f>
        <v>0</v>
      </c>
      <c r="AY2144" s="94" t="s">
        <v>2807</v>
      </c>
      <c r="AZ2144" s="94" t="s">
        <v>2808</v>
      </c>
      <c r="BA2144" s="88" t="s">
        <v>67</v>
      </c>
      <c r="BC2144" s="93">
        <f>AW2144+AX2144</f>
        <v>0</v>
      </c>
      <c r="BD2144" s="93">
        <f>H2144/(100-BE2144)*100</f>
        <v>0</v>
      </c>
      <c r="BE2144" s="93">
        <v>0</v>
      </c>
      <c r="BF2144" s="93">
        <f>O2144</f>
        <v>1.1623639749999999</v>
      </c>
      <c r="BH2144" s="93">
        <f>G2144*AO2144</f>
        <v>0</v>
      </c>
      <c r="BI2144" s="93">
        <f>G2144*AP2144</f>
        <v>0</v>
      </c>
      <c r="BJ2144" s="93">
        <f>G2144*H2144</f>
        <v>0</v>
      </c>
      <c r="BK2144" s="93"/>
      <c r="BL2144" s="93">
        <v>781</v>
      </c>
      <c r="BW2144" s="93" t="str">
        <f>I2144</f>
        <v>21</v>
      </c>
      <c r="BX2144" s="2" t="s">
        <v>2840</v>
      </c>
    </row>
    <row r="2145" spans="1:76" s="81" customFormat="1" x14ac:dyDescent="0.25">
      <c r="A2145" s="110"/>
      <c r="B2145" s="95"/>
      <c r="C2145" s="95"/>
      <c r="D2145" s="76" t="s">
        <v>2841</v>
      </c>
      <c r="E2145" s="76" t="s">
        <v>2842</v>
      </c>
      <c r="F2145" s="95"/>
      <c r="G2145" s="96">
        <v>292.05124999999998</v>
      </c>
      <c r="H2145" s="95"/>
      <c r="I2145" s="95"/>
      <c r="J2145" s="95"/>
      <c r="K2145" s="95"/>
      <c r="L2145" s="95"/>
      <c r="M2145" s="95"/>
      <c r="N2145" s="95"/>
      <c r="O2145" s="95"/>
      <c r="P2145" s="95"/>
    </row>
    <row r="2146" spans="1:76" s="81" customFormat="1" ht="25.5" x14ac:dyDescent="0.25">
      <c r="A2146" s="66" t="s">
        <v>2876</v>
      </c>
      <c r="B2146" s="72" t="s">
        <v>55</v>
      </c>
      <c r="C2146" s="72" t="s">
        <v>2844</v>
      </c>
      <c r="D2146" s="174" t="s">
        <v>2845</v>
      </c>
      <c r="E2146" s="174"/>
      <c r="F2146" s="72" t="s">
        <v>192</v>
      </c>
      <c r="G2146" s="90">
        <v>321.25637</v>
      </c>
      <c r="H2146" s="91"/>
      <c r="I2146" s="92" t="s">
        <v>63</v>
      </c>
      <c r="J2146" s="90">
        <f>G2146*AO2146</f>
        <v>0</v>
      </c>
      <c r="K2146" s="90">
        <f>G2146*AP2146</f>
        <v>0</v>
      </c>
      <c r="L2146" s="90">
        <f>G2146*H2146</f>
        <v>0</v>
      </c>
      <c r="M2146" s="90">
        <f>L2146*(1+BW2146/100)</f>
        <v>0</v>
      </c>
      <c r="N2146" s="90">
        <v>1.4200000000000001E-2</v>
      </c>
      <c r="O2146" s="90">
        <f>G2146*N2146</f>
        <v>4.5618404540000004</v>
      </c>
      <c r="P2146" s="92" t="s">
        <v>64</v>
      </c>
      <c r="Z2146" s="93">
        <f>IF(AQ2146="5",BJ2146,0)</f>
        <v>0</v>
      </c>
      <c r="AB2146" s="93">
        <f>IF(AQ2146="1",BH2146,0)</f>
        <v>0</v>
      </c>
      <c r="AC2146" s="93">
        <f>IF(AQ2146="1",BI2146,0)</f>
        <v>0</v>
      </c>
      <c r="AD2146" s="93">
        <f>IF(AQ2146="7",BH2146,0)</f>
        <v>0</v>
      </c>
      <c r="AE2146" s="93">
        <f>IF(AQ2146="7",BI2146,0)</f>
        <v>0</v>
      </c>
      <c r="AF2146" s="93">
        <f>IF(AQ2146="2",BH2146,0)</f>
        <v>0</v>
      </c>
      <c r="AG2146" s="93">
        <f>IF(AQ2146="2",BI2146,0)</f>
        <v>0</v>
      </c>
      <c r="AH2146" s="93">
        <f>IF(AQ2146="0",BJ2146,0)</f>
        <v>0</v>
      </c>
      <c r="AI2146" s="88" t="s">
        <v>55</v>
      </c>
      <c r="AJ2146" s="93">
        <f>IF(AN2146=0,L2146,0)</f>
        <v>0</v>
      </c>
      <c r="AK2146" s="93">
        <f>IF(AN2146=12,L2146,0)</f>
        <v>0</v>
      </c>
      <c r="AL2146" s="93">
        <f>IF(AN2146=21,L2146,0)</f>
        <v>0</v>
      </c>
      <c r="AN2146" s="93">
        <v>21</v>
      </c>
      <c r="AO2146" s="93">
        <f>H2146*1</f>
        <v>0</v>
      </c>
      <c r="AP2146" s="93">
        <f>H2146*(1-1)</f>
        <v>0</v>
      </c>
      <c r="AQ2146" s="94" t="s">
        <v>148</v>
      </c>
      <c r="AV2146" s="93">
        <f>AW2146+AX2146</f>
        <v>0</v>
      </c>
      <c r="AW2146" s="93">
        <f>G2146*AO2146</f>
        <v>0</v>
      </c>
      <c r="AX2146" s="93">
        <f>G2146*AP2146</f>
        <v>0</v>
      </c>
      <c r="AY2146" s="94" t="s">
        <v>2807</v>
      </c>
      <c r="AZ2146" s="94" t="s">
        <v>2808</v>
      </c>
      <c r="BA2146" s="88" t="s">
        <v>67</v>
      </c>
      <c r="BC2146" s="93">
        <f>AW2146+AX2146</f>
        <v>0</v>
      </c>
      <c r="BD2146" s="93">
        <f>H2146/(100-BE2146)*100</f>
        <v>0</v>
      </c>
      <c r="BE2146" s="93">
        <v>0</v>
      </c>
      <c r="BF2146" s="93">
        <f>O2146</f>
        <v>4.5618404540000004</v>
      </c>
      <c r="BH2146" s="93">
        <f>G2146*AO2146</f>
        <v>0</v>
      </c>
      <c r="BI2146" s="93">
        <f>G2146*AP2146</f>
        <v>0</v>
      </c>
      <c r="BJ2146" s="93">
        <f>G2146*H2146</f>
        <v>0</v>
      </c>
      <c r="BK2146" s="93"/>
      <c r="BL2146" s="93">
        <v>781</v>
      </c>
      <c r="BW2146" s="93" t="str">
        <f>I2146</f>
        <v>21</v>
      </c>
      <c r="BX2146" s="2" t="s">
        <v>2845</v>
      </c>
    </row>
    <row r="2147" spans="1:76" s="81" customFormat="1" x14ac:dyDescent="0.25">
      <c r="A2147" s="110"/>
      <c r="B2147" s="95"/>
      <c r="C2147" s="95"/>
      <c r="D2147" s="76" t="s">
        <v>2841</v>
      </c>
      <c r="E2147" s="76" t="s">
        <v>54</v>
      </c>
      <c r="F2147" s="95"/>
      <c r="G2147" s="96">
        <v>292.05124999999998</v>
      </c>
      <c r="H2147" s="95"/>
      <c r="I2147" s="95"/>
      <c r="J2147" s="95"/>
      <c r="K2147" s="95"/>
      <c r="L2147" s="95"/>
      <c r="M2147" s="95"/>
      <c r="N2147" s="95"/>
      <c r="O2147" s="95"/>
      <c r="P2147" s="95"/>
    </row>
    <row r="2148" spans="1:76" s="81" customFormat="1" x14ac:dyDescent="0.25">
      <c r="A2148" s="110"/>
      <c r="B2148" s="95"/>
      <c r="C2148" s="95"/>
      <c r="D2148" s="76" t="s">
        <v>2846</v>
      </c>
      <c r="E2148" s="76" t="s">
        <v>54</v>
      </c>
      <c r="F2148" s="95"/>
      <c r="G2148" s="96">
        <v>29.205120000000001</v>
      </c>
      <c r="H2148" s="95"/>
      <c r="I2148" s="95"/>
      <c r="J2148" s="95"/>
      <c r="K2148" s="95"/>
      <c r="L2148" s="95"/>
      <c r="M2148" s="95"/>
      <c r="N2148" s="95"/>
      <c r="O2148" s="95"/>
      <c r="P2148" s="95"/>
    </row>
    <row r="2149" spans="1:76" s="81" customFormat="1" ht="25.5" x14ac:dyDescent="0.25">
      <c r="A2149" s="66" t="s">
        <v>2880</v>
      </c>
      <c r="B2149" s="72" t="s">
        <v>55</v>
      </c>
      <c r="C2149" s="72" t="s">
        <v>2848</v>
      </c>
      <c r="D2149" s="174" t="s">
        <v>2849</v>
      </c>
      <c r="E2149" s="174"/>
      <c r="F2149" s="72" t="s">
        <v>1447</v>
      </c>
      <c r="G2149" s="91"/>
      <c r="H2149" s="91"/>
      <c r="I2149" s="92" t="s">
        <v>63</v>
      </c>
      <c r="J2149" s="90">
        <f>G2149*AO2149</f>
        <v>0</v>
      </c>
      <c r="K2149" s="90">
        <f>G2149*AP2149</f>
        <v>0</v>
      </c>
      <c r="L2149" s="90">
        <f>G2149*H2149</f>
        <v>0</v>
      </c>
      <c r="M2149" s="90">
        <f>L2149*(1+BW2149/100)</f>
        <v>0</v>
      </c>
      <c r="N2149" s="90">
        <v>0</v>
      </c>
      <c r="O2149" s="90">
        <f>G2149*N2149</f>
        <v>0</v>
      </c>
      <c r="P2149" s="92" t="s">
        <v>64</v>
      </c>
      <c r="Z2149" s="93">
        <f>IF(AQ2149="5",BJ2149,0)</f>
        <v>0</v>
      </c>
      <c r="AB2149" s="93">
        <f>IF(AQ2149="1",BH2149,0)</f>
        <v>0</v>
      </c>
      <c r="AC2149" s="93">
        <f>IF(AQ2149="1",BI2149,0)</f>
        <v>0</v>
      </c>
      <c r="AD2149" s="93">
        <f>IF(AQ2149="7",BH2149,0)</f>
        <v>0</v>
      </c>
      <c r="AE2149" s="93">
        <f>IF(AQ2149="7",BI2149,0)</f>
        <v>0</v>
      </c>
      <c r="AF2149" s="93">
        <f>IF(AQ2149="2",BH2149,0)</f>
        <v>0</v>
      </c>
      <c r="AG2149" s="93">
        <f>IF(AQ2149="2",BI2149,0)</f>
        <v>0</v>
      </c>
      <c r="AH2149" s="93">
        <f>IF(AQ2149="0",BJ2149,0)</f>
        <v>0</v>
      </c>
      <c r="AI2149" s="88" t="s">
        <v>55</v>
      </c>
      <c r="AJ2149" s="93">
        <f>IF(AN2149=0,L2149,0)</f>
        <v>0</v>
      </c>
      <c r="AK2149" s="93">
        <f>IF(AN2149=12,L2149,0)</f>
        <v>0</v>
      </c>
      <c r="AL2149" s="93">
        <f>IF(AN2149=21,L2149,0)</f>
        <v>0</v>
      </c>
      <c r="AN2149" s="93">
        <v>21</v>
      </c>
      <c r="AO2149" s="93">
        <f>H2149*0</f>
        <v>0</v>
      </c>
      <c r="AP2149" s="93">
        <f>H2149*(1-0)</f>
        <v>0</v>
      </c>
      <c r="AQ2149" s="94" t="s">
        <v>136</v>
      </c>
      <c r="AV2149" s="93">
        <f>AW2149+AX2149</f>
        <v>0</v>
      </c>
      <c r="AW2149" s="93">
        <f>G2149*AO2149</f>
        <v>0</v>
      </c>
      <c r="AX2149" s="93">
        <f>G2149*AP2149</f>
        <v>0</v>
      </c>
      <c r="AY2149" s="94" t="s">
        <v>2807</v>
      </c>
      <c r="AZ2149" s="94" t="s">
        <v>2808</v>
      </c>
      <c r="BA2149" s="88" t="s">
        <v>67</v>
      </c>
      <c r="BC2149" s="93">
        <f>AW2149+AX2149</f>
        <v>0</v>
      </c>
      <c r="BD2149" s="93">
        <f>H2149/(100-BE2149)*100</f>
        <v>0</v>
      </c>
      <c r="BE2149" s="93">
        <v>0</v>
      </c>
      <c r="BF2149" s="93">
        <f>O2149</f>
        <v>0</v>
      </c>
      <c r="BH2149" s="93">
        <f>G2149*AO2149</f>
        <v>0</v>
      </c>
      <c r="BI2149" s="93">
        <f>G2149*AP2149</f>
        <v>0</v>
      </c>
      <c r="BJ2149" s="93">
        <f>G2149*H2149</f>
        <v>0</v>
      </c>
      <c r="BK2149" s="93"/>
      <c r="BL2149" s="93">
        <v>781</v>
      </c>
      <c r="BW2149" s="93" t="str">
        <f>I2149</f>
        <v>21</v>
      </c>
      <c r="BX2149" s="2" t="s">
        <v>2849</v>
      </c>
    </row>
    <row r="2150" spans="1:76" s="81" customFormat="1" x14ac:dyDescent="0.25">
      <c r="A2150" s="109" t="s">
        <v>54</v>
      </c>
      <c r="B2150" s="74" t="s">
        <v>55</v>
      </c>
      <c r="C2150" s="74" t="s">
        <v>2850</v>
      </c>
      <c r="D2150" s="180" t="s">
        <v>2851</v>
      </c>
      <c r="E2150" s="180"/>
      <c r="F2150" s="85" t="s">
        <v>4</v>
      </c>
      <c r="G2150" s="85" t="s">
        <v>4</v>
      </c>
      <c r="H2150" s="85" t="s">
        <v>4</v>
      </c>
      <c r="I2150" s="85" t="s">
        <v>4</v>
      </c>
      <c r="J2150" s="86">
        <f>SUM(J2151:J2223)</f>
        <v>0</v>
      </c>
      <c r="K2150" s="86">
        <f>SUM(K2151:K2223)</f>
        <v>0</v>
      </c>
      <c r="L2150" s="86">
        <f>SUM(L2151:L2223)</f>
        <v>0</v>
      </c>
      <c r="M2150" s="86">
        <f>SUM(M2151:M2223)</f>
        <v>0</v>
      </c>
      <c r="N2150" s="87" t="s">
        <v>54</v>
      </c>
      <c r="O2150" s="86">
        <f>SUM(O2151:O2223)</f>
        <v>1.3750194910000002</v>
      </c>
      <c r="P2150" s="87" t="s">
        <v>54</v>
      </c>
      <c r="AI2150" s="88" t="s">
        <v>55</v>
      </c>
      <c r="AS2150" s="89">
        <f>SUM(AJ2151:AJ2223)</f>
        <v>0</v>
      </c>
      <c r="AT2150" s="89">
        <f>SUM(AK2151:AK2223)</f>
        <v>0</v>
      </c>
      <c r="AU2150" s="89">
        <f>SUM(AL2151:AL2223)</f>
        <v>0</v>
      </c>
    </row>
    <row r="2151" spans="1:76" s="81" customFormat="1" ht="25.5" x14ac:dyDescent="0.25">
      <c r="A2151" s="66" t="s">
        <v>2886</v>
      </c>
      <c r="B2151" s="72" t="s">
        <v>55</v>
      </c>
      <c r="C2151" s="72" t="s">
        <v>2853</v>
      </c>
      <c r="D2151" s="174" t="s">
        <v>2854</v>
      </c>
      <c r="E2151" s="174"/>
      <c r="F2151" s="72" t="s">
        <v>192</v>
      </c>
      <c r="G2151" s="90">
        <v>4292.1301999999996</v>
      </c>
      <c r="H2151" s="91"/>
      <c r="I2151" s="92" t="s">
        <v>63</v>
      </c>
      <c r="J2151" s="90">
        <f>G2151*AO2151</f>
        <v>0</v>
      </c>
      <c r="K2151" s="90">
        <f>G2151*AP2151</f>
        <v>0</v>
      </c>
      <c r="L2151" s="90">
        <f>G2151*H2151</f>
        <v>0</v>
      </c>
      <c r="M2151" s="90">
        <f>L2151*(1+BW2151/100)</f>
        <v>0</v>
      </c>
      <c r="N2151" s="90">
        <v>1E-4</v>
      </c>
      <c r="O2151" s="90">
        <f>G2151*N2151</f>
        <v>0.42921302</v>
      </c>
      <c r="P2151" s="92" t="s">
        <v>64</v>
      </c>
      <c r="Z2151" s="93">
        <f>IF(AQ2151="5",BJ2151,0)</f>
        <v>0</v>
      </c>
      <c r="AB2151" s="93">
        <f>IF(AQ2151="1",BH2151,0)</f>
        <v>0</v>
      </c>
      <c r="AC2151" s="93">
        <f>IF(AQ2151="1",BI2151,0)</f>
        <v>0</v>
      </c>
      <c r="AD2151" s="93">
        <f>IF(AQ2151="7",BH2151,0)</f>
        <v>0</v>
      </c>
      <c r="AE2151" s="93">
        <f>IF(AQ2151="7",BI2151,0)</f>
        <v>0</v>
      </c>
      <c r="AF2151" s="93">
        <f>IF(AQ2151="2",BH2151,0)</f>
        <v>0</v>
      </c>
      <c r="AG2151" s="93">
        <f>IF(AQ2151="2",BI2151,0)</f>
        <v>0</v>
      </c>
      <c r="AH2151" s="93">
        <f>IF(AQ2151="0",BJ2151,0)</f>
        <v>0</v>
      </c>
      <c r="AI2151" s="88" t="s">
        <v>55</v>
      </c>
      <c r="AJ2151" s="93">
        <f>IF(AN2151=0,L2151,0)</f>
        <v>0</v>
      </c>
      <c r="AK2151" s="93">
        <f>IF(AN2151=12,L2151,0)</f>
        <v>0</v>
      </c>
      <c r="AL2151" s="93">
        <f>IF(AN2151=21,L2151,0)</f>
        <v>0</v>
      </c>
      <c r="AN2151" s="93">
        <v>21</v>
      </c>
      <c r="AO2151" s="93">
        <f>H2151*0.339350171</f>
        <v>0</v>
      </c>
      <c r="AP2151" s="93">
        <f>H2151*(1-0.339350171)</f>
        <v>0</v>
      </c>
      <c r="AQ2151" s="94" t="s">
        <v>148</v>
      </c>
      <c r="AV2151" s="93">
        <f>AW2151+AX2151</f>
        <v>0</v>
      </c>
      <c r="AW2151" s="93">
        <f>G2151*AO2151</f>
        <v>0</v>
      </c>
      <c r="AX2151" s="93">
        <f>G2151*AP2151</f>
        <v>0</v>
      </c>
      <c r="AY2151" s="94" t="s">
        <v>2855</v>
      </c>
      <c r="AZ2151" s="94" t="s">
        <v>2808</v>
      </c>
      <c r="BA2151" s="88" t="s">
        <v>67</v>
      </c>
      <c r="BC2151" s="93">
        <f>AW2151+AX2151</f>
        <v>0</v>
      </c>
      <c r="BD2151" s="93">
        <f>H2151/(100-BE2151)*100</f>
        <v>0</v>
      </c>
      <c r="BE2151" s="93">
        <v>0</v>
      </c>
      <c r="BF2151" s="93">
        <f>O2151</f>
        <v>0.42921302</v>
      </c>
      <c r="BH2151" s="93">
        <f>G2151*AO2151</f>
        <v>0</v>
      </c>
      <c r="BI2151" s="93">
        <f>G2151*AP2151</f>
        <v>0</v>
      </c>
      <c r="BJ2151" s="93">
        <f>G2151*H2151</f>
        <v>0</v>
      </c>
      <c r="BK2151" s="93"/>
      <c r="BL2151" s="93">
        <v>784</v>
      </c>
      <c r="BW2151" s="93" t="str">
        <f>I2151</f>
        <v>21</v>
      </c>
      <c r="BX2151" s="2" t="s">
        <v>2854</v>
      </c>
    </row>
    <row r="2152" spans="1:76" s="81" customFormat="1" x14ac:dyDescent="0.25">
      <c r="A2152" s="110"/>
      <c r="B2152" s="95"/>
      <c r="C2152" s="95"/>
      <c r="D2152" s="76" t="s">
        <v>54</v>
      </c>
      <c r="E2152" s="76" t="s">
        <v>308</v>
      </c>
      <c r="F2152" s="95"/>
      <c r="G2152" s="96">
        <v>0</v>
      </c>
      <c r="H2152" s="95"/>
      <c r="I2152" s="95"/>
      <c r="J2152" s="95"/>
      <c r="K2152" s="95"/>
      <c r="L2152" s="95"/>
      <c r="M2152" s="95"/>
      <c r="N2152" s="95"/>
      <c r="O2152" s="95"/>
      <c r="P2152" s="95"/>
    </row>
    <row r="2153" spans="1:76" s="81" customFormat="1" x14ac:dyDescent="0.25">
      <c r="A2153" s="110"/>
      <c r="B2153" s="95"/>
      <c r="C2153" s="95"/>
      <c r="D2153" s="76" t="s">
        <v>2856</v>
      </c>
      <c r="E2153" s="76" t="s">
        <v>2857</v>
      </c>
      <c r="F2153" s="95"/>
      <c r="G2153" s="96">
        <v>25.63045</v>
      </c>
      <c r="H2153" s="95"/>
      <c r="I2153" s="95"/>
      <c r="J2153" s="95"/>
      <c r="K2153" s="95"/>
      <c r="L2153" s="95"/>
      <c r="M2153" s="95"/>
      <c r="N2153" s="95"/>
      <c r="O2153" s="95"/>
      <c r="P2153" s="95"/>
    </row>
    <row r="2154" spans="1:76" s="81" customFormat="1" ht="25.5" x14ac:dyDescent="0.25">
      <c r="A2154" s="110"/>
      <c r="B2154" s="95"/>
      <c r="C2154" s="95"/>
      <c r="D2154" s="76" t="s">
        <v>54</v>
      </c>
      <c r="E2154" s="76" t="s">
        <v>2858</v>
      </c>
      <c r="F2154" s="95"/>
      <c r="G2154" s="96">
        <v>0</v>
      </c>
      <c r="H2154" s="95"/>
      <c r="I2154" s="95"/>
      <c r="J2154" s="95"/>
      <c r="K2154" s="95"/>
      <c r="L2154" s="95"/>
      <c r="M2154" s="95"/>
      <c r="N2154" s="95"/>
      <c r="O2154" s="95"/>
      <c r="P2154" s="95"/>
    </row>
    <row r="2155" spans="1:76" s="81" customFormat="1" x14ac:dyDescent="0.25">
      <c r="A2155" s="110"/>
      <c r="B2155" s="95"/>
      <c r="C2155" s="95"/>
      <c r="D2155" s="76" t="s">
        <v>2859</v>
      </c>
      <c r="E2155" s="76" t="s">
        <v>54</v>
      </c>
      <c r="F2155" s="95"/>
      <c r="G2155" s="96">
        <v>1221.8</v>
      </c>
      <c r="H2155" s="95"/>
      <c r="I2155" s="95"/>
      <c r="J2155" s="95"/>
      <c r="K2155" s="95"/>
      <c r="L2155" s="95"/>
      <c r="M2155" s="95"/>
      <c r="N2155" s="95"/>
      <c r="O2155" s="95"/>
      <c r="P2155" s="95"/>
    </row>
    <row r="2156" spans="1:76" s="81" customFormat="1" x14ac:dyDescent="0.25">
      <c r="A2156" s="110"/>
      <c r="B2156" s="95"/>
      <c r="C2156" s="95"/>
      <c r="D2156" s="76" t="s">
        <v>54</v>
      </c>
      <c r="E2156" s="76" t="s">
        <v>396</v>
      </c>
      <c r="F2156" s="95"/>
      <c r="G2156" s="96">
        <v>0</v>
      </c>
      <c r="H2156" s="95"/>
      <c r="I2156" s="95"/>
      <c r="J2156" s="95"/>
      <c r="K2156" s="95"/>
      <c r="L2156" s="95"/>
      <c r="M2156" s="95"/>
      <c r="N2156" s="95"/>
      <c r="O2156" s="95"/>
      <c r="P2156" s="95"/>
    </row>
    <row r="2157" spans="1:76" s="81" customFormat="1" x14ac:dyDescent="0.25">
      <c r="A2157" s="110"/>
      <c r="B2157" s="95"/>
      <c r="C2157" s="95"/>
      <c r="D2157" s="76" t="s">
        <v>54</v>
      </c>
      <c r="E2157" s="76" t="s">
        <v>886</v>
      </c>
      <c r="F2157" s="95"/>
      <c r="G2157" s="96">
        <v>0</v>
      </c>
      <c r="H2157" s="95"/>
      <c r="I2157" s="95"/>
      <c r="J2157" s="95"/>
      <c r="K2157" s="95"/>
      <c r="L2157" s="95"/>
      <c r="M2157" s="95"/>
      <c r="N2157" s="95"/>
      <c r="O2157" s="95"/>
      <c r="P2157" s="95"/>
    </row>
    <row r="2158" spans="1:76" s="81" customFormat="1" x14ac:dyDescent="0.25">
      <c r="A2158" s="110"/>
      <c r="B2158" s="95"/>
      <c r="C2158" s="95"/>
      <c r="D2158" s="76" t="s">
        <v>54</v>
      </c>
      <c r="E2158" s="76" t="s">
        <v>299</v>
      </c>
      <c r="F2158" s="95"/>
      <c r="G2158" s="96">
        <v>0</v>
      </c>
      <c r="H2158" s="95"/>
      <c r="I2158" s="95"/>
      <c r="J2158" s="95"/>
      <c r="K2158" s="95"/>
      <c r="L2158" s="95"/>
      <c r="M2158" s="95"/>
      <c r="N2158" s="95"/>
      <c r="O2158" s="95"/>
      <c r="P2158" s="95"/>
    </row>
    <row r="2159" spans="1:76" s="81" customFormat="1" x14ac:dyDescent="0.25">
      <c r="A2159" s="110"/>
      <c r="B2159" s="95"/>
      <c r="C2159" s="95"/>
      <c r="D2159" s="76" t="s">
        <v>529</v>
      </c>
      <c r="E2159" s="76" t="s">
        <v>54</v>
      </c>
      <c r="F2159" s="95"/>
      <c r="G2159" s="96">
        <v>3.4100999999999999</v>
      </c>
      <c r="H2159" s="95"/>
      <c r="I2159" s="95"/>
      <c r="J2159" s="95"/>
      <c r="K2159" s="95"/>
      <c r="L2159" s="95"/>
      <c r="M2159" s="95"/>
      <c r="N2159" s="95"/>
      <c r="O2159" s="95"/>
      <c r="P2159" s="95"/>
    </row>
    <row r="2160" spans="1:76" s="81" customFormat="1" x14ac:dyDescent="0.25">
      <c r="A2160" s="110"/>
      <c r="B2160" s="95"/>
      <c r="C2160" s="95"/>
      <c r="D2160" s="76" t="s">
        <v>530</v>
      </c>
      <c r="E2160" s="76" t="s">
        <v>54</v>
      </c>
      <c r="F2160" s="95"/>
      <c r="G2160" s="96">
        <v>4.3789999999999996</v>
      </c>
      <c r="H2160" s="95"/>
      <c r="I2160" s="95"/>
      <c r="J2160" s="95"/>
      <c r="K2160" s="95"/>
      <c r="L2160" s="95"/>
      <c r="M2160" s="95"/>
      <c r="N2160" s="95"/>
      <c r="O2160" s="95"/>
      <c r="P2160" s="95"/>
    </row>
    <row r="2161" spans="1:16" s="81" customFormat="1" x14ac:dyDescent="0.25">
      <c r="A2161" s="110"/>
      <c r="B2161" s="95"/>
      <c r="C2161" s="95"/>
      <c r="D2161" s="76" t="s">
        <v>54</v>
      </c>
      <c r="E2161" s="76" t="s">
        <v>308</v>
      </c>
      <c r="F2161" s="95"/>
      <c r="G2161" s="96">
        <v>0</v>
      </c>
      <c r="H2161" s="95"/>
      <c r="I2161" s="95"/>
      <c r="J2161" s="95"/>
      <c r="K2161" s="95"/>
      <c r="L2161" s="95"/>
      <c r="M2161" s="95"/>
      <c r="N2161" s="95"/>
      <c r="O2161" s="95"/>
      <c r="P2161" s="95"/>
    </row>
    <row r="2162" spans="1:16" s="81" customFormat="1" x14ac:dyDescent="0.25">
      <c r="A2162" s="110"/>
      <c r="B2162" s="95"/>
      <c r="C2162" s="95"/>
      <c r="D2162" s="76" t="s">
        <v>531</v>
      </c>
      <c r="E2162" s="76" t="s">
        <v>54</v>
      </c>
      <c r="F2162" s="95"/>
      <c r="G2162" s="96">
        <v>2.9834999999999998</v>
      </c>
      <c r="H2162" s="95"/>
      <c r="I2162" s="95"/>
      <c r="J2162" s="95"/>
      <c r="K2162" s="95"/>
      <c r="L2162" s="95"/>
      <c r="M2162" s="95"/>
      <c r="N2162" s="95"/>
      <c r="O2162" s="95"/>
      <c r="P2162" s="95"/>
    </row>
    <row r="2163" spans="1:16" s="81" customFormat="1" x14ac:dyDescent="0.25">
      <c r="A2163" s="110"/>
      <c r="B2163" s="95"/>
      <c r="C2163" s="95"/>
      <c r="D2163" s="76" t="s">
        <v>532</v>
      </c>
      <c r="E2163" s="76" t="s">
        <v>54</v>
      </c>
      <c r="F2163" s="95"/>
      <c r="G2163" s="96">
        <v>2.1648000000000001</v>
      </c>
      <c r="H2163" s="95"/>
      <c r="I2163" s="95"/>
      <c r="J2163" s="95"/>
      <c r="K2163" s="95"/>
      <c r="L2163" s="95"/>
      <c r="M2163" s="95"/>
      <c r="N2163" s="95"/>
      <c r="O2163" s="95"/>
      <c r="P2163" s="95"/>
    </row>
    <row r="2164" spans="1:16" s="81" customFormat="1" x14ac:dyDescent="0.25">
      <c r="A2164" s="110"/>
      <c r="B2164" s="95"/>
      <c r="C2164" s="95"/>
      <c r="D2164" s="76" t="s">
        <v>54</v>
      </c>
      <c r="E2164" s="76" t="s">
        <v>299</v>
      </c>
      <c r="F2164" s="95"/>
      <c r="G2164" s="96">
        <v>0</v>
      </c>
      <c r="H2164" s="95"/>
      <c r="I2164" s="95"/>
      <c r="J2164" s="95"/>
      <c r="K2164" s="95"/>
      <c r="L2164" s="95"/>
      <c r="M2164" s="95"/>
      <c r="N2164" s="95"/>
      <c r="O2164" s="95"/>
      <c r="P2164" s="95"/>
    </row>
    <row r="2165" spans="1:16" s="81" customFormat="1" x14ac:dyDescent="0.25">
      <c r="A2165" s="110"/>
      <c r="B2165" s="95"/>
      <c r="C2165" s="95"/>
      <c r="D2165" s="76" t="s">
        <v>536</v>
      </c>
      <c r="E2165" s="76" t="s">
        <v>54</v>
      </c>
      <c r="F2165" s="95"/>
      <c r="G2165" s="96">
        <v>23.823499999999999</v>
      </c>
      <c r="H2165" s="95"/>
      <c r="I2165" s="95"/>
      <c r="J2165" s="95"/>
      <c r="K2165" s="95"/>
      <c r="L2165" s="95"/>
      <c r="M2165" s="95"/>
      <c r="N2165" s="95"/>
      <c r="O2165" s="95"/>
      <c r="P2165" s="95"/>
    </row>
    <row r="2166" spans="1:16" s="81" customFormat="1" x14ac:dyDescent="0.25">
      <c r="A2166" s="110"/>
      <c r="B2166" s="95"/>
      <c r="C2166" s="95"/>
      <c r="D2166" s="76" t="s">
        <v>54</v>
      </c>
      <c r="E2166" s="76" t="s">
        <v>308</v>
      </c>
      <c r="F2166" s="95"/>
      <c r="G2166" s="96">
        <v>0</v>
      </c>
      <c r="H2166" s="95"/>
      <c r="I2166" s="95"/>
      <c r="J2166" s="95"/>
      <c r="K2166" s="95"/>
      <c r="L2166" s="95"/>
      <c r="M2166" s="95"/>
      <c r="N2166" s="95"/>
      <c r="O2166" s="95"/>
      <c r="P2166" s="95"/>
    </row>
    <row r="2167" spans="1:16" s="81" customFormat="1" x14ac:dyDescent="0.25">
      <c r="A2167" s="110"/>
      <c r="B2167" s="95"/>
      <c r="C2167" s="95"/>
      <c r="D2167" s="76" t="s">
        <v>537</v>
      </c>
      <c r="E2167" s="76" t="s">
        <v>54</v>
      </c>
      <c r="F2167" s="95"/>
      <c r="G2167" s="96">
        <v>19.78762</v>
      </c>
      <c r="H2167" s="95"/>
      <c r="I2167" s="95"/>
      <c r="J2167" s="95"/>
      <c r="K2167" s="95"/>
      <c r="L2167" s="95"/>
      <c r="M2167" s="95"/>
      <c r="N2167" s="95"/>
      <c r="O2167" s="95"/>
      <c r="P2167" s="95"/>
    </row>
    <row r="2168" spans="1:16" s="81" customFormat="1" x14ac:dyDescent="0.25">
      <c r="A2168" s="110"/>
      <c r="B2168" s="95"/>
      <c r="C2168" s="95"/>
      <c r="D2168" s="76" t="s">
        <v>538</v>
      </c>
      <c r="E2168" s="76" t="s">
        <v>54</v>
      </c>
      <c r="F2168" s="95"/>
      <c r="G2168" s="96">
        <v>4.8555000000000001</v>
      </c>
      <c r="H2168" s="95"/>
      <c r="I2168" s="95"/>
      <c r="J2168" s="95"/>
      <c r="K2168" s="95"/>
      <c r="L2168" s="95"/>
      <c r="M2168" s="95"/>
      <c r="N2168" s="95"/>
      <c r="O2168" s="95"/>
      <c r="P2168" s="95"/>
    </row>
    <row r="2169" spans="1:16" s="81" customFormat="1" x14ac:dyDescent="0.25">
      <c r="A2169" s="110"/>
      <c r="B2169" s="95"/>
      <c r="C2169" s="95"/>
      <c r="D2169" s="76" t="s">
        <v>539</v>
      </c>
      <c r="E2169" s="76" t="s">
        <v>54</v>
      </c>
      <c r="F2169" s="95"/>
      <c r="G2169" s="96">
        <v>26.229749999999999</v>
      </c>
      <c r="H2169" s="95"/>
      <c r="I2169" s="95"/>
      <c r="J2169" s="95"/>
      <c r="K2169" s="95"/>
      <c r="L2169" s="95"/>
      <c r="M2169" s="95"/>
      <c r="N2169" s="95"/>
      <c r="O2169" s="95"/>
      <c r="P2169" s="95"/>
    </row>
    <row r="2170" spans="1:16" s="81" customFormat="1" x14ac:dyDescent="0.25">
      <c r="A2170" s="110"/>
      <c r="B2170" s="95"/>
      <c r="C2170" s="95"/>
      <c r="D2170" s="76" t="s">
        <v>54</v>
      </c>
      <c r="E2170" s="76" t="s">
        <v>299</v>
      </c>
      <c r="F2170" s="95"/>
      <c r="G2170" s="96">
        <v>0</v>
      </c>
      <c r="H2170" s="95"/>
      <c r="I2170" s="95"/>
      <c r="J2170" s="95"/>
      <c r="K2170" s="95"/>
      <c r="L2170" s="95"/>
      <c r="M2170" s="95"/>
      <c r="N2170" s="95"/>
      <c r="O2170" s="95"/>
      <c r="P2170" s="95"/>
    </row>
    <row r="2171" spans="1:16" s="81" customFormat="1" x14ac:dyDescent="0.25">
      <c r="A2171" s="110"/>
      <c r="B2171" s="95"/>
      <c r="C2171" s="95"/>
      <c r="D2171" s="76" t="s">
        <v>887</v>
      </c>
      <c r="E2171" s="76" t="s">
        <v>54</v>
      </c>
      <c r="F2171" s="95"/>
      <c r="G2171" s="96">
        <v>34.655000000000001</v>
      </c>
      <c r="H2171" s="95"/>
      <c r="I2171" s="95"/>
      <c r="J2171" s="95"/>
      <c r="K2171" s="95"/>
      <c r="L2171" s="95"/>
      <c r="M2171" s="95"/>
      <c r="N2171" s="95"/>
      <c r="O2171" s="95"/>
      <c r="P2171" s="95"/>
    </row>
    <row r="2172" spans="1:16" s="81" customFormat="1" x14ac:dyDescent="0.25">
      <c r="A2172" s="110"/>
      <c r="B2172" s="95"/>
      <c r="C2172" s="95"/>
      <c r="D2172" s="76" t="s">
        <v>888</v>
      </c>
      <c r="E2172" s="76" t="s">
        <v>54</v>
      </c>
      <c r="F2172" s="95"/>
      <c r="G2172" s="96">
        <v>67.28</v>
      </c>
      <c r="H2172" s="95"/>
      <c r="I2172" s="95"/>
      <c r="J2172" s="95"/>
      <c r="K2172" s="95"/>
      <c r="L2172" s="95"/>
      <c r="M2172" s="95"/>
      <c r="N2172" s="95"/>
      <c r="O2172" s="95"/>
      <c r="P2172" s="95"/>
    </row>
    <row r="2173" spans="1:16" s="81" customFormat="1" x14ac:dyDescent="0.25">
      <c r="A2173" s="110"/>
      <c r="B2173" s="95"/>
      <c r="C2173" s="95"/>
      <c r="D2173" s="76" t="s">
        <v>889</v>
      </c>
      <c r="E2173" s="76" t="s">
        <v>54</v>
      </c>
      <c r="F2173" s="95"/>
      <c r="G2173" s="96">
        <v>15.03</v>
      </c>
      <c r="H2173" s="95"/>
      <c r="I2173" s="95"/>
      <c r="J2173" s="95"/>
      <c r="K2173" s="95"/>
      <c r="L2173" s="95"/>
      <c r="M2173" s="95"/>
      <c r="N2173" s="95"/>
      <c r="O2173" s="95"/>
      <c r="P2173" s="95"/>
    </row>
    <row r="2174" spans="1:16" s="81" customFormat="1" x14ac:dyDescent="0.25">
      <c r="A2174" s="110"/>
      <c r="B2174" s="95"/>
      <c r="C2174" s="95"/>
      <c r="D2174" s="76" t="s">
        <v>54</v>
      </c>
      <c r="E2174" s="76" t="s">
        <v>308</v>
      </c>
      <c r="F2174" s="95"/>
      <c r="G2174" s="96">
        <v>0</v>
      </c>
      <c r="H2174" s="95"/>
      <c r="I2174" s="95"/>
      <c r="J2174" s="95"/>
      <c r="K2174" s="95"/>
      <c r="L2174" s="95"/>
      <c r="M2174" s="95"/>
      <c r="N2174" s="95"/>
      <c r="O2174" s="95"/>
      <c r="P2174" s="95"/>
    </row>
    <row r="2175" spans="1:16" s="81" customFormat="1" x14ac:dyDescent="0.25">
      <c r="A2175" s="110"/>
      <c r="B2175" s="95"/>
      <c r="C2175" s="95"/>
      <c r="D2175" s="76" t="s">
        <v>2860</v>
      </c>
      <c r="E2175" s="76" t="s">
        <v>54</v>
      </c>
      <c r="F2175" s="95"/>
      <c r="G2175" s="96">
        <v>28.372499999999999</v>
      </c>
      <c r="H2175" s="95"/>
      <c r="I2175" s="95"/>
      <c r="J2175" s="95"/>
      <c r="K2175" s="95"/>
      <c r="L2175" s="95"/>
      <c r="M2175" s="95"/>
      <c r="N2175" s="95"/>
      <c r="O2175" s="95"/>
      <c r="P2175" s="95"/>
    </row>
    <row r="2176" spans="1:16" s="81" customFormat="1" x14ac:dyDescent="0.25">
      <c r="A2176" s="110"/>
      <c r="B2176" s="95"/>
      <c r="C2176" s="95"/>
      <c r="D2176" s="76" t="s">
        <v>2861</v>
      </c>
      <c r="E2176" s="76" t="s">
        <v>54</v>
      </c>
      <c r="F2176" s="95"/>
      <c r="G2176" s="96">
        <v>77.489999999999995</v>
      </c>
      <c r="H2176" s="95"/>
      <c r="I2176" s="95"/>
      <c r="J2176" s="95"/>
      <c r="K2176" s="95"/>
      <c r="L2176" s="95"/>
      <c r="M2176" s="95"/>
      <c r="N2176" s="95"/>
      <c r="O2176" s="95"/>
      <c r="P2176" s="95"/>
    </row>
    <row r="2177" spans="1:16" s="81" customFormat="1" x14ac:dyDescent="0.25">
      <c r="A2177" s="110"/>
      <c r="B2177" s="95"/>
      <c r="C2177" s="95"/>
      <c r="D2177" s="76" t="s">
        <v>54</v>
      </c>
      <c r="E2177" s="76" t="s">
        <v>299</v>
      </c>
      <c r="F2177" s="95"/>
      <c r="G2177" s="96">
        <v>0</v>
      </c>
      <c r="H2177" s="95"/>
      <c r="I2177" s="95"/>
      <c r="J2177" s="95"/>
      <c r="K2177" s="95"/>
      <c r="L2177" s="95"/>
      <c r="M2177" s="95"/>
      <c r="N2177" s="95"/>
      <c r="O2177" s="95"/>
      <c r="P2177" s="95"/>
    </row>
    <row r="2178" spans="1:16" s="81" customFormat="1" x14ac:dyDescent="0.25">
      <c r="A2178" s="110"/>
      <c r="B2178" s="95"/>
      <c r="C2178" s="95"/>
      <c r="D2178" s="76" t="s">
        <v>2862</v>
      </c>
      <c r="E2178" s="76" t="s">
        <v>54</v>
      </c>
      <c r="F2178" s="95"/>
      <c r="G2178" s="96">
        <v>41.58</v>
      </c>
      <c r="H2178" s="95"/>
      <c r="I2178" s="95"/>
      <c r="J2178" s="95"/>
      <c r="K2178" s="95"/>
      <c r="L2178" s="95"/>
      <c r="M2178" s="95"/>
      <c r="N2178" s="95"/>
      <c r="O2178" s="95"/>
      <c r="P2178" s="95"/>
    </row>
    <row r="2179" spans="1:16" s="81" customFormat="1" x14ac:dyDescent="0.25">
      <c r="A2179" s="110"/>
      <c r="B2179" s="95"/>
      <c r="C2179" s="95"/>
      <c r="D2179" s="76" t="s">
        <v>894</v>
      </c>
      <c r="E2179" s="76" t="s">
        <v>54</v>
      </c>
      <c r="F2179" s="95"/>
      <c r="G2179" s="96">
        <v>69.89</v>
      </c>
      <c r="H2179" s="95"/>
      <c r="I2179" s="95"/>
      <c r="J2179" s="95"/>
      <c r="K2179" s="95"/>
      <c r="L2179" s="95"/>
      <c r="M2179" s="95"/>
      <c r="N2179" s="95"/>
      <c r="O2179" s="95"/>
      <c r="P2179" s="95"/>
    </row>
    <row r="2180" spans="1:16" s="81" customFormat="1" ht="25.5" x14ac:dyDescent="0.25">
      <c r="A2180" s="110"/>
      <c r="B2180" s="95"/>
      <c r="C2180" s="95"/>
      <c r="D2180" s="76" t="s">
        <v>895</v>
      </c>
      <c r="E2180" s="76" t="s">
        <v>54</v>
      </c>
      <c r="F2180" s="95"/>
      <c r="G2180" s="96">
        <v>189.25399999999999</v>
      </c>
      <c r="H2180" s="95"/>
      <c r="I2180" s="95"/>
      <c r="J2180" s="95"/>
      <c r="K2180" s="95"/>
      <c r="L2180" s="95"/>
      <c r="M2180" s="95"/>
      <c r="N2180" s="95"/>
      <c r="O2180" s="95"/>
      <c r="P2180" s="95"/>
    </row>
    <row r="2181" spans="1:16" s="81" customFormat="1" x14ac:dyDescent="0.25">
      <c r="A2181" s="110"/>
      <c r="B2181" s="95"/>
      <c r="C2181" s="95"/>
      <c r="D2181" s="76" t="s">
        <v>54</v>
      </c>
      <c r="E2181" s="76" t="s">
        <v>308</v>
      </c>
      <c r="F2181" s="95"/>
      <c r="G2181" s="96">
        <v>0</v>
      </c>
      <c r="H2181" s="95"/>
      <c r="I2181" s="95"/>
      <c r="J2181" s="95"/>
      <c r="K2181" s="95"/>
      <c r="L2181" s="95"/>
      <c r="M2181" s="95"/>
      <c r="N2181" s="95"/>
      <c r="O2181" s="95"/>
      <c r="P2181" s="95"/>
    </row>
    <row r="2182" spans="1:16" s="81" customFormat="1" ht="25.5" x14ac:dyDescent="0.25">
      <c r="A2182" s="110"/>
      <c r="B2182" s="95"/>
      <c r="C2182" s="95"/>
      <c r="D2182" s="76" t="s">
        <v>899</v>
      </c>
      <c r="E2182" s="76" t="s">
        <v>54</v>
      </c>
      <c r="F2182" s="95"/>
      <c r="G2182" s="96">
        <v>252.1935</v>
      </c>
      <c r="H2182" s="95"/>
      <c r="I2182" s="95"/>
      <c r="J2182" s="95"/>
      <c r="K2182" s="95"/>
      <c r="L2182" s="95"/>
      <c r="M2182" s="95"/>
      <c r="N2182" s="95"/>
      <c r="O2182" s="95"/>
      <c r="P2182" s="95"/>
    </row>
    <row r="2183" spans="1:16" s="81" customFormat="1" x14ac:dyDescent="0.25">
      <c r="A2183" s="110"/>
      <c r="B2183" s="95"/>
      <c r="C2183" s="95"/>
      <c r="D2183" s="76" t="s">
        <v>2863</v>
      </c>
      <c r="E2183" s="76" t="s">
        <v>54</v>
      </c>
      <c r="F2183" s="95"/>
      <c r="G2183" s="96">
        <v>123.72750000000001</v>
      </c>
      <c r="H2183" s="95"/>
      <c r="I2183" s="95"/>
      <c r="J2183" s="95"/>
      <c r="K2183" s="95"/>
      <c r="L2183" s="95"/>
      <c r="M2183" s="95"/>
      <c r="N2183" s="95"/>
      <c r="O2183" s="95"/>
      <c r="P2183" s="95"/>
    </row>
    <row r="2184" spans="1:16" s="81" customFormat="1" x14ac:dyDescent="0.25">
      <c r="A2184" s="110"/>
      <c r="B2184" s="95"/>
      <c r="C2184" s="95"/>
      <c r="D2184" s="76" t="s">
        <v>2864</v>
      </c>
      <c r="E2184" s="76" t="s">
        <v>54</v>
      </c>
      <c r="F2184" s="95"/>
      <c r="G2184" s="96">
        <v>387.94200000000001</v>
      </c>
      <c r="H2184" s="95"/>
      <c r="I2184" s="95"/>
      <c r="J2184" s="95"/>
      <c r="K2184" s="95"/>
      <c r="L2184" s="95"/>
      <c r="M2184" s="95"/>
      <c r="N2184" s="95"/>
      <c r="O2184" s="95"/>
      <c r="P2184" s="95"/>
    </row>
    <row r="2185" spans="1:16" s="81" customFormat="1" x14ac:dyDescent="0.25">
      <c r="A2185" s="110"/>
      <c r="B2185" s="95"/>
      <c r="C2185" s="95"/>
      <c r="D2185" s="76" t="s">
        <v>54</v>
      </c>
      <c r="E2185" s="76" t="s">
        <v>897</v>
      </c>
      <c r="F2185" s="95"/>
      <c r="G2185" s="96">
        <v>0</v>
      </c>
      <c r="H2185" s="95"/>
      <c r="I2185" s="95"/>
      <c r="J2185" s="95"/>
      <c r="K2185" s="95"/>
      <c r="L2185" s="95"/>
      <c r="M2185" s="95"/>
      <c r="N2185" s="95"/>
      <c r="O2185" s="95"/>
      <c r="P2185" s="95"/>
    </row>
    <row r="2186" spans="1:16" s="81" customFormat="1" x14ac:dyDescent="0.25">
      <c r="A2186" s="110"/>
      <c r="B2186" s="95"/>
      <c r="C2186" s="95"/>
      <c r="D2186" s="76" t="s">
        <v>54</v>
      </c>
      <c r="E2186" s="76" t="s">
        <v>898</v>
      </c>
      <c r="F2186" s="95"/>
      <c r="G2186" s="96">
        <v>0</v>
      </c>
      <c r="H2186" s="95"/>
      <c r="I2186" s="95"/>
      <c r="J2186" s="95"/>
      <c r="K2186" s="95"/>
      <c r="L2186" s="95"/>
      <c r="M2186" s="95"/>
      <c r="N2186" s="95"/>
      <c r="O2186" s="95"/>
      <c r="P2186" s="95"/>
    </row>
    <row r="2187" spans="1:16" s="81" customFormat="1" x14ac:dyDescent="0.25">
      <c r="A2187" s="110"/>
      <c r="B2187" s="95"/>
      <c r="C2187" s="95"/>
      <c r="D2187" s="76" t="s">
        <v>2865</v>
      </c>
      <c r="E2187" s="76" t="s">
        <v>54</v>
      </c>
      <c r="F2187" s="95"/>
      <c r="G2187" s="96">
        <v>360.97586999999999</v>
      </c>
      <c r="H2187" s="95"/>
      <c r="I2187" s="95"/>
      <c r="J2187" s="95"/>
      <c r="K2187" s="95"/>
      <c r="L2187" s="95"/>
      <c r="M2187" s="95"/>
      <c r="N2187" s="95"/>
      <c r="O2187" s="95"/>
      <c r="P2187" s="95"/>
    </row>
    <row r="2188" spans="1:16" s="81" customFormat="1" x14ac:dyDescent="0.25">
      <c r="A2188" s="110"/>
      <c r="B2188" s="95"/>
      <c r="C2188" s="95"/>
      <c r="D2188" s="76" t="s">
        <v>905</v>
      </c>
      <c r="E2188" s="76" t="s">
        <v>54</v>
      </c>
      <c r="F2188" s="95"/>
      <c r="G2188" s="96">
        <v>1.8304</v>
      </c>
      <c r="H2188" s="95"/>
      <c r="I2188" s="95"/>
      <c r="J2188" s="95"/>
      <c r="K2188" s="95"/>
      <c r="L2188" s="95"/>
      <c r="M2188" s="95"/>
      <c r="N2188" s="95"/>
      <c r="O2188" s="95"/>
      <c r="P2188" s="95"/>
    </row>
    <row r="2189" spans="1:16" s="81" customFormat="1" ht="25.5" x14ac:dyDescent="0.25">
      <c r="A2189" s="110"/>
      <c r="B2189" s="95"/>
      <c r="C2189" s="95"/>
      <c r="D2189" s="76" t="s">
        <v>902</v>
      </c>
      <c r="E2189" s="76" t="s">
        <v>54</v>
      </c>
      <c r="F2189" s="95"/>
      <c r="G2189" s="96">
        <v>6.8787000000000003</v>
      </c>
      <c r="H2189" s="95"/>
      <c r="I2189" s="95"/>
      <c r="J2189" s="95"/>
      <c r="K2189" s="95"/>
      <c r="L2189" s="95"/>
      <c r="M2189" s="95"/>
      <c r="N2189" s="95"/>
      <c r="O2189" s="95"/>
      <c r="P2189" s="95"/>
    </row>
    <row r="2190" spans="1:16" s="81" customFormat="1" x14ac:dyDescent="0.25">
      <c r="A2190" s="110"/>
      <c r="B2190" s="95"/>
      <c r="C2190" s="95"/>
      <c r="D2190" s="76" t="s">
        <v>900</v>
      </c>
      <c r="E2190" s="76" t="s">
        <v>54</v>
      </c>
      <c r="F2190" s="95"/>
      <c r="G2190" s="96">
        <v>19.16337</v>
      </c>
      <c r="H2190" s="95"/>
      <c r="I2190" s="95"/>
      <c r="J2190" s="95"/>
      <c r="K2190" s="95"/>
      <c r="L2190" s="95"/>
      <c r="M2190" s="95"/>
      <c r="N2190" s="95"/>
      <c r="O2190" s="95"/>
      <c r="P2190" s="95"/>
    </row>
    <row r="2191" spans="1:16" s="81" customFormat="1" x14ac:dyDescent="0.25">
      <c r="A2191" s="110"/>
      <c r="B2191" s="95"/>
      <c r="C2191" s="95"/>
      <c r="D2191" s="76" t="s">
        <v>2866</v>
      </c>
      <c r="E2191" s="76" t="s">
        <v>54</v>
      </c>
      <c r="F2191" s="95"/>
      <c r="G2191" s="96">
        <v>232.61349999999999</v>
      </c>
      <c r="H2191" s="95"/>
      <c r="I2191" s="95"/>
      <c r="J2191" s="95"/>
      <c r="K2191" s="95"/>
      <c r="L2191" s="95"/>
      <c r="M2191" s="95"/>
      <c r="N2191" s="95"/>
      <c r="O2191" s="95"/>
      <c r="P2191" s="95"/>
    </row>
    <row r="2192" spans="1:16" s="81" customFormat="1" x14ac:dyDescent="0.25">
      <c r="A2192" s="110"/>
      <c r="B2192" s="95"/>
      <c r="C2192" s="95"/>
      <c r="D2192" s="76" t="s">
        <v>938</v>
      </c>
      <c r="E2192" s="76" t="s">
        <v>54</v>
      </c>
      <c r="F2192" s="95"/>
      <c r="G2192" s="96">
        <v>2.5564</v>
      </c>
      <c r="H2192" s="95"/>
      <c r="I2192" s="95"/>
      <c r="J2192" s="95"/>
      <c r="K2192" s="95"/>
      <c r="L2192" s="95"/>
      <c r="M2192" s="95"/>
      <c r="N2192" s="95"/>
      <c r="O2192" s="95"/>
      <c r="P2192" s="95"/>
    </row>
    <row r="2193" spans="1:16" s="81" customFormat="1" x14ac:dyDescent="0.25">
      <c r="A2193" s="110"/>
      <c r="B2193" s="95"/>
      <c r="C2193" s="95"/>
      <c r="D2193" s="76" t="s">
        <v>935</v>
      </c>
      <c r="E2193" s="76" t="s">
        <v>54</v>
      </c>
      <c r="F2193" s="95"/>
      <c r="G2193" s="96">
        <v>145.52199999999999</v>
      </c>
      <c r="H2193" s="95"/>
      <c r="I2193" s="95"/>
      <c r="J2193" s="95"/>
      <c r="K2193" s="95"/>
      <c r="L2193" s="95"/>
      <c r="M2193" s="95"/>
      <c r="N2193" s="95"/>
      <c r="O2193" s="95"/>
      <c r="P2193" s="95"/>
    </row>
    <row r="2194" spans="1:16" s="81" customFormat="1" x14ac:dyDescent="0.25">
      <c r="A2194" s="110"/>
      <c r="B2194" s="95"/>
      <c r="C2194" s="95"/>
      <c r="D2194" s="76" t="s">
        <v>904</v>
      </c>
      <c r="E2194" s="76" t="s">
        <v>54</v>
      </c>
      <c r="F2194" s="95"/>
      <c r="G2194" s="96">
        <v>2.6827800000000002</v>
      </c>
      <c r="H2194" s="95"/>
      <c r="I2194" s="95"/>
      <c r="J2194" s="95"/>
      <c r="K2194" s="95"/>
      <c r="L2194" s="95"/>
      <c r="M2194" s="95"/>
      <c r="N2194" s="95"/>
      <c r="O2194" s="95"/>
      <c r="P2194" s="95"/>
    </row>
    <row r="2195" spans="1:16" s="81" customFormat="1" x14ac:dyDescent="0.25">
      <c r="A2195" s="110"/>
      <c r="B2195" s="95"/>
      <c r="C2195" s="95"/>
      <c r="D2195" s="76" t="s">
        <v>933</v>
      </c>
      <c r="E2195" s="76" t="s">
        <v>54</v>
      </c>
      <c r="F2195" s="95"/>
      <c r="G2195" s="96">
        <v>2.64</v>
      </c>
      <c r="H2195" s="95"/>
      <c r="I2195" s="95"/>
      <c r="J2195" s="95"/>
      <c r="K2195" s="95"/>
      <c r="L2195" s="95"/>
      <c r="M2195" s="95"/>
      <c r="N2195" s="95"/>
      <c r="O2195" s="95"/>
      <c r="P2195" s="95"/>
    </row>
    <row r="2196" spans="1:16" s="81" customFormat="1" x14ac:dyDescent="0.25">
      <c r="A2196" s="110"/>
      <c r="B2196" s="95"/>
      <c r="C2196" s="95"/>
      <c r="D2196" s="76" t="s">
        <v>906</v>
      </c>
      <c r="E2196" s="76" t="s">
        <v>54</v>
      </c>
      <c r="F2196" s="95"/>
      <c r="G2196" s="96">
        <v>108.69199999999999</v>
      </c>
      <c r="H2196" s="95"/>
      <c r="I2196" s="95"/>
      <c r="J2196" s="95"/>
      <c r="K2196" s="95"/>
      <c r="L2196" s="95"/>
      <c r="M2196" s="95"/>
      <c r="N2196" s="95"/>
      <c r="O2196" s="95"/>
      <c r="P2196" s="95"/>
    </row>
    <row r="2197" spans="1:16" s="81" customFormat="1" x14ac:dyDescent="0.25">
      <c r="A2197" s="110"/>
      <c r="B2197" s="95"/>
      <c r="C2197" s="95"/>
      <c r="D2197" s="76" t="s">
        <v>908</v>
      </c>
      <c r="E2197" s="76" t="s">
        <v>54</v>
      </c>
      <c r="F2197" s="95"/>
      <c r="G2197" s="96">
        <v>10.2525</v>
      </c>
      <c r="H2197" s="95"/>
      <c r="I2197" s="95"/>
      <c r="J2197" s="95"/>
      <c r="K2197" s="95"/>
      <c r="L2197" s="95"/>
      <c r="M2197" s="95"/>
      <c r="N2197" s="95"/>
      <c r="O2197" s="95"/>
      <c r="P2197" s="95"/>
    </row>
    <row r="2198" spans="1:16" s="81" customFormat="1" x14ac:dyDescent="0.25">
      <c r="A2198" s="110"/>
      <c r="B2198" s="95"/>
      <c r="C2198" s="95"/>
      <c r="D2198" s="76" t="s">
        <v>909</v>
      </c>
      <c r="E2198" s="76" t="s">
        <v>54</v>
      </c>
      <c r="F2198" s="95"/>
      <c r="G2198" s="96">
        <v>80.547499999999999</v>
      </c>
      <c r="H2198" s="95"/>
      <c r="I2198" s="95"/>
      <c r="J2198" s="95"/>
      <c r="K2198" s="95"/>
      <c r="L2198" s="95"/>
      <c r="M2198" s="95"/>
      <c r="N2198" s="95"/>
      <c r="O2198" s="95"/>
      <c r="P2198" s="95"/>
    </row>
    <row r="2199" spans="1:16" s="81" customFormat="1" x14ac:dyDescent="0.25">
      <c r="A2199" s="110"/>
      <c r="B2199" s="95"/>
      <c r="C2199" s="95"/>
      <c r="D2199" s="76" t="s">
        <v>2867</v>
      </c>
      <c r="E2199" s="76" t="s">
        <v>54</v>
      </c>
      <c r="F2199" s="95"/>
      <c r="G2199" s="96">
        <v>1.2782</v>
      </c>
      <c r="H2199" s="95"/>
      <c r="I2199" s="95"/>
      <c r="J2199" s="95"/>
      <c r="K2199" s="95"/>
      <c r="L2199" s="95"/>
      <c r="M2199" s="95"/>
      <c r="N2199" s="95"/>
      <c r="O2199" s="95"/>
      <c r="P2199" s="95"/>
    </row>
    <row r="2200" spans="1:16" s="81" customFormat="1" ht="25.5" x14ac:dyDescent="0.25">
      <c r="A2200" s="110"/>
      <c r="B2200" s="95"/>
      <c r="C2200" s="95"/>
      <c r="D2200" s="76" t="s">
        <v>911</v>
      </c>
      <c r="E2200" s="76" t="s">
        <v>54</v>
      </c>
      <c r="F2200" s="95"/>
      <c r="G2200" s="96">
        <v>209.75700000000001</v>
      </c>
      <c r="H2200" s="95"/>
      <c r="I2200" s="95"/>
      <c r="J2200" s="95"/>
      <c r="K2200" s="95"/>
      <c r="L2200" s="95"/>
      <c r="M2200" s="95"/>
      <c r="N2200" s="95"/>
      <c r="O2200" s="95"/>
      <c r="P2200" s="95"/>
    </row>
    <row r="2201" spans="1:16" s="81" customFormat="1" x14ac:dyDescent="0.25">
      <c r="A2201" s="110"/>
      <c r="B2201" s="95"/>
      <c r="C2201" s="95"/>
      <c r="D2201" s="76" t="s">
        <v>913</v>
      </c>
      <c r="E2201" s="76" t="s">
        <v>54</v>
      </c>
      <c r="F2201" s="95"/>
      <c r="G2201" s="96">
        <v>0.59399999999999997</v>
      </c>
      <c r="H2201" s="95"/>
      <c r="I2201" s="95"/>
      <c r="J2201" s="95"/>
      <c r="K2201" s="95"/>
      <c r="L2201" s="95"/>
      <c r="M2201" s="95"/>
      <c r="N2201" s="95"/>
      <c r="O2201" s="95"/>
      <c r="P2201" s="95"/>
    </row>
    <row r="2202" spans="1:16" s="81" customFormat="1" x14ac:dyDescent="0.25">
      <c r="A2202" s="110"/>
      <c r="B2202" s="95"/>
      <c r="C2202" s="95"/>
      <c r="D2202" s="76" t="s">
        <v>2868</v>
      </c>
      <c r="E2202" s="76" t="s">
        <v>54</v>
      </c>
      <c r="F2202" s="95"/>
      <c r="G2202" s="96">
        <v>34.725999999999999</v>
      </c>
      <c r="H2202" s="95"/>
      <c r="I2202" s="95"/>
      <c r="J2202" s="95"/>
      <c r="K2202" s="95"/>
      <c r="L2202" s="95"/>
      <c r="M2202" s="95"/>
      <c r="N2202" s="95"/>
      <c r="O2202" s="95"/>
      <c r="P2202" s="95"/>
    </row>
    <row r="2203" spans="1:16" s="81" customFormat="1" x14ac:dyDescent="0.25">
      <c r="A2203" s="110"/>
      <c r="B2203" s="95"/>
      <c r="C2203" s="95"/>
      <c r="D2203" s="76" t="s">
        <v>915</v>
      </c>
      <c r="E2203" s="76" t="s">
        <v>54</v>
      </c>
      <c r="F2203" s="95"/>
      <c r="G2203" s="96">
        <v>33.0075</v>
      </c>
      <c r="H2203" s="95"/>
      <c r="I2203" s="95"/>
      <c r="J2203" s="95"/>
      <c r="K2203" s="95"/>
      <c r="L2203" s="95"/>
      <c r="M2203" s="95"/>
      <c r="N2203" s="95"/>
      <c r="O2203" s="95"/>
      <c r="P2203" s="95"/>
    </row>
    <row r="2204" spans="1:16" s="81" customFormat="1" x14ac:dyDescent="0.25">
      <c r="A2204" s="110"/>
      <c r="B2204" s="95"/>
      <c r="C2204" s="95"/>
      <c r="D2204" s="76" t="s">
        <v>2869</v>
      </c>
      <c r="E2204" s="76" t="s">
        <v>54</v>
      </c>
      <c r="F2204" s="95"/>
      <c r="G2204" s="96">
        <v>97.555999999999997</v>
      </c>
      <c r="H2204" s="95"/>
      <c r="I2204" s="95"/>
      <c r="J2204" s="95"/>
      <c r="K2204" s="95"/>
      <c r="L2204" s="95"/>
      <c r="M2204" s="95"/>
      <c r="N2204" s="95"/>
      <c r="O2204" s="95"/>
      <c r="P2204" s="95"/>
    </row>
    <row r="2205" spans="1:16" s="81" customFormat="1" ht="25.5" x14ac:dyDescent="0.25">
      <c r="A2205" s="110"/>
      <c r="B2205" s="95"/>
      <c r="C2205" s="95"/>
      <c r="D2205" s="76" t="s">
        <v>2870</v>
      </c>
      <c r="E2205" s="76" t="s">
        <v>54</v>
      </c>
      <c r="F2205" s="95"/>
      <c r="G2205" s="96">
        <v>-0.34399999999999997</v>
      </c>
      <c r="H2205" s="95"/>
      <c r="I2205" s="95"/>
      <c r="J2205" s="95"/>
      <c r="K2205" s="95"/>
      <c r="L2205" s="95"/>
      <c r="M2205" s="95"/>
      <c r="N2205" s="95"/>
      <c r="O2205" s="95"/>
      <c r="P2205" s="95"/>
    </row>
    <row r="2206" spans="1:16" s="81" customFormat="1" x14ac:dyDescent="0.25">
      <c r="A2206" s="110"/>
      <c r="B2206" s="95"/>
      <c r="C2206" s="95"/>
      <c r="D2206" s="76" t="s">
        <v>918</v>
      </c>
      <c r="E2206" s="76" t="s">
        <v>54</v>
      </c>
      <c r="F2206" s="95"/>
      <c r="G2206" s="96">
        <v>53.65</v>
      </c>
      <c r="H2206" s="95"/>
      <c r="I2206" s="95"/>
      <c r="J2206" s="95"/>
      <c r="K2206" s="95"/>
      <c r="L2206" s="95"/>
      <c r="M2206" s="95"/>
      <c r="N2206" s="95"/>
      <c r="O2206" s="95"/>
      <c r="P2206" s="95"/>
    </row>
    <row r="2207" spans="1:16" s="81" customFormat="1" x14ac:dyDescent="0.25">
      <c r="A2207" s="110"/>
      <c r="B2207" s="95"/>
      <c r="C2207" s="95"/>
      <c r="D2207" s="76" t="s">
        <v>2871</v>
      </c>
      <c r="E2207" s="76" t="s">
        <v>54</v>
      </c>
      <c r="F2207" s="95"/>
      <c r="G2207" s="96">
        <v>74.125349999999997</v>
      </c>
      <c r="H2207" s="95"/>
      <c r="I2207" s="95"/>
      <c r="J2207" s="95"/>
      <c r="K2207" s="95"/>
      <c r="L2207" s="95"/>
      <c r="M2207" s="95"/>
      <c r="N2207" s="95"/>
      <c r="O2207" s="95"/>
      <c r="P2207" s="95"/>
    </row>
    <row r="2208" spans="1:16" s="81" customFormat="1" x14ac:dyDescent="0.25">
      <c r="A2208" s="110"/>
      <c r="B2208" s="95"/>
      <c r="C2208" s="95"/>
      <c r="D2208" s="76" t="s">
        <v>54</v>
      </c>
      <c r="E2208" s="76" t="s">
        <v>930</v>
      </c>
      <c r="F2208" s="95"/>
      <c r="G2208" s="96">
        <v>0</v>
      </c>
      <c r="H2208" s="95"/>
      <c r="I2208" s="95"/>
      <c r="J2208" s="95"/>
      <c r="K2208" s="95"/>
      <c r="L2208" s="95"/>
      <c r="M2208" s="95"/>
      <c r="N2208" s="95"/>
      <c r="O2208" s="95"/>
      <c r="P2208" s="95"/>
    </row>
    <row r="2209" spans="1:76" s="81" customFormat="1" ht="25.5" x14ac:dyDescent="0.25">
      <c r="A2209" s="110"/>
      <c r="B2209" s="95"/>
      <c r="C2209" s="95"/>
      <c r="D2209" s="76" t="s">
        <v>921</v>
      </c>
      <c r="E2209" s="76" t="s">
        <v>54</v>
      </c>
      <c r="F2209" s="95"/>
      <c r="G2209" s="96">
        <v>137.48378</v>
      </c>
      <c r="H2209" s="95"/>
      <c r="I2209" s="95"/>
      <c r="J2209" s="95"/>
      <c r="K2209" s="95"/>
      <c r="L2209" s="95"/>
      <c r="M2209" s="95"/>
      <c r="N2209" s="95"/>
      <c r="O2209" s="95"/>
      <c r="P2209" s="95"/>
    </row>
    <row r="2210" spans="1:76" s="81" customFormat="1" x14ac:dyDescent="0.25">
      <c r="A2210" s="110"/>
      <c r="B2210" s="95"/>
      <c r="C2210" s="95"/>
      <c r="D2210" s="76" t="s">
        <v>2872</v>
      </c>
      <c r="E2210" s="76" t="s">
        <v>54</v>
      </c>
      <c r="F2210" s="95"/>
      <c r="G2210" s="96">
        <v>-5.9465500000000002</v>
      </c>
      <c r="H2210" s="95"/>
      <c r="I2210" s="95"/>
      <c r="J2210" s="95"/>
      <c r="K2210" s="95"/>
      <c r="L2210" s="95"/>
      <c r="M2210" s="95"/>
      <c r="N2210" s="95"/>
      <c r="O2210" s="95"/>
      <c r="P2210" s="95"/>
    </row>
    <row r="2211" spans="1:76" s="81" customFormat="1" x14ac:dyDescent="0.25">
      <c r="A2211" s="110"/>
      <c r="B2211" s="95"/>
      <c r="C2211" s="95"/>
      <c r="D2211" s="76" t="s">
        <v>932</v>
      </c>
      <c r="E2211" s="76" t="s">
        <v>54</v>
      </c>
      <c r="F2211" s="95"/>
      <c r="G2211" s="96">
        <v>3.1724999999999999</v>
      </c>
      <c r="H2211" s="95"/>
      <c r="I2211" s="95"/>
      <c r="J2211" s="95"/>
      <c r="K2211" s="95"/>
      <c r="L2211" s="95"/>
      <c r="M2211" s="95"/>
      <c r="N2211" s="95"/>
      <c r="O2211" s="95"/>
      <c r="P2211" s="95"/>
    </row>
    <row r="2212" spans="1:76" s="81" customFormat="1" ht="25.5" x14ac:dyDescent="0.25">
      <c r="A2212" s="110"/>
      <c r="B2212" s="95"/>
      <c r="C2212" s="95"/>
      <c r="D2212" s="76" t="s">
        <v>922</v>
      </c>
      <c r="E2212" s="76" t="s">
        <v>54</v>
      </c>
      <c r="F2212" s="95"/>
      <c r="G2212" s="96">
        <v>9.5145499999999998</v>
      </c>
      <c r="H2212" s="95"/>
      <c r="I2212" s="95"/>
      <c r="J2212" s="95"/>
      <c r="K2212" s="95"/>
      <c r="L2212" s="95"/>
      <c r="M2212" s="95"/>
      <c r="N2212" s="95"/>
      <c r="O2212" s="95"/>
      <c r="P2212" s="95"/>
    </row>
    <row r="2213" spans="1:76" s="81" customFormat="1" ht="25.5" x14ac:dyDescent="0.25">
      <c r="A2213" s="110"/>
      <c r="B2213" s="95"/>
      <c r="C2213" s="95"/>
      <c r="D2213" s="76" t="s">
        <v>2873</v>
      </c>
      <c r="E2213" s="76" t="s">
        <v>54</v>
      </c>
      <c r="F2213" s="95"/>
      <c r="G2213" s="96">
        <v>73.346630000000005</v>
      </c>
      <c r="H2213" s="95"/>
      <c r="I2213" s="95"/>
      <c r="J2213" s="95"/>
      <c r="K2213" s="95"/>
      <c r="L2213" s="95"/>
      <c r="M2213" s="95"/>
      <c r="N2213" s="95"/>
      <c r="O2213" s="95"/>
      <c r="P2213" s="95"/>
    </row>
    <row r="2214" spans="1:76" s="81" customFormat="1" ht="25.5" x14ac:dyDescent="0.25">
      <c r="A2214" s="110"/>
      <c r="B2214" s="95"/>
      <c r="C2214" s="95"/>
      <c r="D2214" s="76" t="s">
        <v>924</v>
      </c>
      <c r="E2214" s="76" t="s">
        <v>54</v>
      </c>
      <c r="F2214" s="95"/>
      <c r="G2214" s="96">
        <v>7.7940500000000004</v>
      </c>
      <c r="H2214" s="95"/>
      <c r="I2214" s="95"/>
      <c r="J2214" s="95"/>
      <c r="K2214" s="95"/>
      <c r="L2214" s="95"/>
      <c r="M2214" s="95"/>
      <c r="N2214" s="95"/>
      <c r="O2214" s="95"/>
      <c r="P2214" s="95"/>
    </row>
    <row r="2215" spans="1:76" s="81" customFormat="1" ht="25.5" x14ac:dyDescent="0.25">
      <c r="A2215" s="110"/>
      <c r="B2215" s="95"/>
      <c r="C2215" s="95"/>
      <c r="D2215" s="76" t="s">
        <v>925</v>
      </c>
      <c r="E2215" s="76" t="s">
        <v>54</v>
      </c>
      <c r="F2215" s="95"/>
      <c r="G2215" s="96">
        <v>101.79</v>
      </c>
      <c r="H2215" s="95"/>
      <c r="I2215" s="95"/>
      <c r="J2215" s="95"/>
      <c r="K2215" s="95"/>
      <c r="L2215" s="95"/>
      <c r="M2215" s="95"/>
      <c r="N2215" s="95"/>
      <c r="O2215" s="95"/>
      <c r="P2215" s="95"/>
    </row>
    <row r="2216" spans="1:76" s="81" customFormat="1" x14ac:dyDescent="0.25">
      <c r="A2216" s="110"/>
      <c r="B2216" s="95"/>
      <c r="C2216" s="95"/>
      <c r="D2216" s="76" t="s">
        <v>2874</v>
      </c>
      <c r="E2216" s="76" t="s">
        <v>54</v>
      </c>
      <c r="F2216" s="95"/>
      <c r="G2216" s="96">
        <v>-8.5254999999999992</v>
      </c>
      <c r="H2216" s="95"/>
      <c r="I2216" s="95"/>
      <c r="J2216" s="95"/>
      <c r="K2216" s="95"/>
      <c r="L2216" s="95"/>
      <c r="M2216" s="95"/>
      <c r="N2216" s="95"/>
      <c r="O2216" s="95"/>
      <c r="P2216" s="95"/>
    </row>
    <row r="2217" spans="1:76" s="81" customFormat="1" ht="25.5" x14ac:dyDescent="0.25">
      <c r="A2217" s="110"/>
      <c r="B2217" s="95"/>
      <c r="C2217" s="95"/>
      <c r="D2217" s="76" t="s">
        <v>927</v>
      </c>
      <c r="E2217" s="76" t="s">
        <v>54</v>
      </c>
      <c r="F2217" s="95"/>
      <c r="G2217" s="96">
        <v>4.6675500000000003</v>
      </c>
      <c r="H2217" s="95"/>
      <c r="I2217" s="95"/>
      <c r="J2217" s="95"/>
      <c r="K2217" s="95"/>
      <c r="L2217" s="95"/>
      <c r="M2217" s="95"/>
      <c r="N2217" s="95"/>
      <c r="O2217" s="95"/>
      <c r="P2217" s="95"/>
    </row>
    <row r="2218" spans="1:76" s="81" customFormat="1" x14ac:dyDescent="0.25">
      <c r="A2218" s="110"/>
      <c r="B2218" s="95"/>
      <c r="C2218" s="95"/>
      <c r="D2218" s="76" t="s">
        <v>928</v>
      </c>
      <c r="E2218" s="76" t="s">
        <v>54</v>
      </c>
      <c r="F2218" s="95"/>
      <c r="G2218" s="96">
        <v>145.23224999999999</v>
      </c>
      <c r="H2218" s="95"/>
      <c r="I2218" s="95"/>
      <c r="J2218" s="95"/>
      <c r="K2218" s="95"/>
      <c r="L2218" s="95"/>
      <c r="M2218" s="95"/>
      <c r="N2218" s="95"/>
      <c r="O2218" s="95"/>
      <c r="P2218" s="95"/>
    </row>
    <row r="2219" spans="1:76" s="81" customFormat="1" ht="25.5" x14ac:dyDescent="0.25">
      <c r="A2219" s="110"/>
      <c r="B2219" s="95"/>
      <c r="C2219" s="95"/>
      <c r="D2219" s="76" t="s">
        <v>2875</v>
      </c>
      <c r="E2219" s="76" t="s">
        <v>54</v>
      </c>
      <c r="F2219" s="95"/>
      <c r="G2219" s="96">
        <v>14.468400000000001</v>
      </c>
      <c r="H2219" s="95"/>
      <c r="I2219" s="95"/>
      <c r="J2219" s="95"/>
      <c r="K2219" s="95"/>
      <c r="L2219" s="95"/>
      <c r="M2219" s="95"/>
      <c r="N2219" s="95"/>
      <c r="O2219" s="95"/>
      <c r="P2219" s="95"/>
    </row>
    <row r="2220" spans="1:76" s="81" customFormat="1" x14ac:dyDescent="0.25">
      <c r="A2220" s="110"/>
      <c r="B2220" s="95"/>
      <c r="C2220" s="95"/>
      <c r="D2220" s="76" t="s">
        <v>942</v>
      </c>
      <c r="E2220" s="76" t="s">
        <v>943</v>
      </c>
      <c r="F2220" s="95"/>
      <c r="G2220" s="96">
        <v>-292.05124999999998</v>
      </c>
      <c r="H2220" s="95"/>
      <c r="I2220" s="95"/>
      <c r="J2220" s="95"/>
      <c r="K2220" s="95"/>
      <c r="L2220" s="95"/>
      <c r="M2220" s="95"/>
      <c r="N2220" s="95"/>
      <c r="O2220" s="95"/>
      <c r="P2220" s="95"/>
    </row>
    <row r="2221" spans="1:76" s="81" customFormat="1" ht="25.5" x14ac:dyDescent="0.25">
      <c r="A2221" s="66" t="s">
        <v>2890</v>
      </c>
      <c r="B2221" s="72" t="s">
        <v>55</v>
      </c>
      <c r="C2221" s="72" t="s">
        <v>2877</v>
      </c>
      <c r="D2221" s="174" t="s">
        <v>2878</v>
      </c>
      <c r="E2221" s="174"/>
      <c r="F2221" s="72" t="s">
        <v>192</v>
      </c>
      <c r="G2221" s="90">
        <v>4266.4997499999999</v>
      </c>
      <c r="H2221" s="91"/>
      <c r="I2221" s="92" t="s">
        <v>63</v>
      </c>
      <c r="J2221" s="90">
        <f>G2221*AO2221</f>
        <v>0</v>
      </c>
      <c r="K2221" s="90">
        <f>G2221*AP2221</f>
        <v>0</v>
      </c>
      <c r="L2221" s="90">
        <f>G2221*H2221</f>
        <v>0</v>
      </c>
      <c r="M2221" s="90">
        <f>L2221*(1+BW2221/100)</f>
        <v>0</v>
      </c>
      <c r="N2221" s="90">
        <v>2.2000000000000001E-4</v>
      </c>
      <c r="O2221" s="90">
        <f>G2221*N2221</f>
        <v>0.93862994500000008</v>
      </c>
      <c r="P2221" s="92" t="s">
        <v>64</v>
      </c>
      <c r="Z2221" s="93">
        <f>IF(AQ2221="5",BJ2221,0)</f>
        <v>0</v>
      </c>
      <c r="AB2221" s="93">
        <f>IF(AQ2221="1",BH2221,0)</f>
        <v>0</v>
      </c>
      <c r="AC2221" s="93">
        <f>IF(AQ2221="1",BI2221,0)</f>
        <v>0</v>
      </c>
      <c r="AD2221" s="93">
        <f>IF(AQ2221="7",BH2221,0)</f>
        <v>0</v>
      </c>
      <c r="AE2221" s="93">
        <f>IF(AQ2221="7",BI2221,0)</f>
        <v>0</v>
      </c>
      <c r="AF2221" s="93">
        <f>IF(AQ2221="2",BH2221,0)</f>
        <v>0</v>
      </c>
      <c r="AG2221" s="93">
        <f>IF(AQ2221="2",BI2221,0)</f>
        <v>0</v>
      </c>
      <c r="AH2221" s="93">
        <f>IF(AQ2221="0",BJ2221,0)</f>
        <v>0</v>
      </c>
      <c r="AI2221" s="88" t="s">
        <v>55</v>
      </c>
      <c r="AJ2221" s="93">
        <f>IF(AN2221=0,L2221,0)</f>
        <v>0</v>
      </c>
      <c r="AK2221" s="93">
        <f>IF(AN2221=12,L2221,0)</f>
        <v>0</v>
      </c>
      <c r="AL2221" s="93">
        <f>IF(AN2221=21,L2221,0)</f>
        <v>0</v>
      </c>
      <c r="AN2221" s="93">
        <v>21</v>
      </c>
      <c r="AO2221" s="93">
        <f>H2221*0.193548388</f>
        <v>0</v>
      </c>
      <c r="AP2221" s="93">
        <f>H2221*(1-0.193548388)</f>
        <v>0</v>
      </c>
      <c r="AQ2221" s="94" t="s">
        <v>148</v>
      </c>
      <c r="AV2221" s="93">
        <f>AW2221+AX2221</f>
        <v>0</v>
      </c>
      <c r="AW2221" s="93">
        <f>G2221*AO2221</f>
        <v>0</v>
      </c>
      <c r="AX2221" s="93">
        <f>G2221*AP2221</f>
        <v>0</v>
      </c>
      <c r="AY2221" s="94" t="s">
        <v>2855</v>
      </c>
      <c r="AZ2221" s="94" t="s">
        <v>2808</v>
      </c>
      <c r="BA2221" s="88" t="s">
        <v>67</v>
      </c>
      <c r="BC2221" s="93">
        <f>AW2221+AX2221</f>
        <v>0</v>
      </c>
      <c r="BD2221" s="93">
        <f>H2221/(100-BE2221)*100</f>
        <v>0</v>
      </c>
      <c r="BE2221" s="93">
        <v>0</v>
      </c>
      <c r="BF2221" s="93">
        <f>O2221</f>
        <v>0.93862994500000008</v>
      </c>
      <c r="BH2221" s="93">
        <f>G2221*AO2221</f>
        <v>0</v>
      </c>
      <c r="BI2221" s="93">
        <f>G2221*AP2221</f>
        <v>0</v>
      </c>
      <c r="BJ2221" s="93">
        <f>G2221*H2221</f>
        <v>0</v>
      </c>
      <c r="BK2221" s="93"/>
      <c r="BL2221" s="93">
        <v>784</v>
      </c>
      <c r="BW2221" s="93" t="str">
        <f>I2221</f>
        <v>21</v>
      </c>
      <c r="BX2221" s="2" t="s">
        <v>2878</v>
      </c>
    </row>
    <row r="2222" spans="1:76" s="81" customFormat="1" x14ac:dyDescent="0.25">
      <c r="A2222" s="110"/>
      <c r="B2222" s="95"/>
      <c r="C2222" s="95"/>
      <c r="D2222" s="76" t="s">
        <v>2879</v>
      </c>
      <c r="E2222" s="76" t="s">
        <v>54</v>
      </c>
      <c r="F2222" s="95"/>
      <c r="G2222" s="96">
        <v>4266.4997499999999</v>
      </c>
      <c r="H2222" s="95"/>
      <c r="I2222" s="95"/>
      <c r="J2222" s="95"/>
      <c r="K2222" s="95"/>
      <c r="L2222" s="95"/>
      <c r="M2222" s="95"/>
      <c r="N2222" s="95"/>
      <c r="O2222" s="95"/>
      <c r="P2222" s="95"/>
    </row>
    <row r="2223" spans="1:76" s="81" customFormat="1" ht="25.5" x14ac:dyDescent="0.25">
      <c r="A2223" s="66" t="s">
        <v>2893</v>
      </c>
      <c r="B2223" s="72" t="s">
        <v>55</v>
      </c>
      <c r="C2223" s="72" t="s">
        <v>2881</v>
      </c>
      <c r="D2223" s="174" t="s">
        <v>2882</v>
      </c>
      <c r="E2223" s="174"/>
      <c r="F2223" s="72" t="s">
        <v>192</v>
      </c>
      <c r="G2223" s="90">
        <v>25.63045</v>
      </c>
      <c r="H2223" s="91"/>
      <c r="I2223" s="92" t="s">
        <v>63</v>
      </c>
      <c r="J2223" s="90">
        <f>G2223*AO2223</f>
        <v>0</v>
      </c>
      <c r="K2223" s="90">
        <f>G2223*AP2223</f>
        <v>0</v>
      </c>
      <c r="L2223" s="90">
        <f>G2223*H2223</f>
        <v>0</v>
      </c>
      <c r="M2223" s="90">
        <f>L2223*(1+BW2223/100)</f>
        <v>0</v>
      </c>
      <c r="N2223" s="90">
        <v>2.7999999999999998E-4</v>
      </c>
      <c r="O2223" s="90">
        <f>G2223*N2223</f>
        <v>7.176525999999999E-3</v>
      </c>
      <c r="P2223" s="92" t="s">
        <v>64</v>
      </c>
      <c r="Z2223" s="93">
        <f>IF(AQ2223="5",BJ2223,0)</f>
        <v>0</v>
      </c>
      <c r="AB2223" s="93">
        <f>IF(AQ2223="1",BH2223,0)</f>
        <v>0</v>
      </c>
      <c r="AC2223" s="93">
        <f>IF(AQ2223="1",BI2223,0)</f>
        <v>0</v>
      </c>
      <c r="AD2223" s="93">
        <f>IF(AQ2223="7",BH2223,0)</f>
        <v>0</v>
      </c>
      <c r="AE2223" s="93">
        <f>IF(AQ2223="7",BI2223,0)</f>
        <v>0</v>
      </c>
      <c r="AF2223" s="93">
        <f>IF(AQ2223="2",BH2223,0)</f>
        <v>0</v>
      </c>
      <c r="AG2223" s="93">
        <f>IF(AQ2223="2",BI2223,0)</f>
        <v>0</v>
      </c>
      <c r="AH2223" s="93">
        <f>IF(AQ2223="0",BJ2223,0)</f>
        <v>0</v>
      </c>
      <c r="AI2223" s="88" t="s">
        <v>55</v>
      </c>
      <c r="AJ2223" s="93">
        <f>IF(AN2223=0,L2223,0)</f>
        <v>0</v>
      </c>
      <c r="AK2223" s="93">
        <f>IF(AN2223=12,L2223,0)</f>
        <v>0</v>
      </c>
      <c r="AL2223" s="93">
        <f>IF(AN2223=21,L2223,0)</f>
        <v>0</v>
      </c>
      <c r="AN2223" s="93">
        <v>21</v>
      </c>
      <c r="AO2223" s="93">
        <f>H2223*0.291300737</f>
        <v>0</v>
      </c>
      <c r="AP2223" s="93">
        <f>H2223*(1-0.291300737)</f>
        <v>0</v>
      </c>
      <c r="AQ2223" s="94" t="s">
        <v>148</v>
      </c>
      <c r="AV2223" s="93">
        <f>AW2223+AX2223</f>
        <v>0</v>
      </c>
      <c r="AW2223" s="93">
        <f>G2223*AO2223</f>
        <v>0</v>
      </c>
      <c r="AX2223" s="93">
        <f>G2223*AP2223</f>
        <v>0</v>
      </c>
      <c r="AY2223" s="94" t="s">
        <v>2855</v>
      </c>
      <c r="AZ2223" s="94" t="s">
        <v>2808</v>
      </c>
      <c r="BA2223" s="88" t="s">
        <v>67</v>
      </c>
      <c r="BC2223" s="93">
        <f>AW2223+AX2223</f>
        <v>0</v>
      </c>
      <c r="BD2223" s="93">
        <f>H2223/(100-BE2223)*100</f>
        <v>0</v>
      </c>
      <c r="BE2223" s="93">
        <v>0</v>
      </c>
      <c r="BF2223" s="93">
        <f>O2223</f>
        <v>7.176525999999999E-3</v>
      </c>
      <c r="BH2223" s="93">
        <f>G2223*AO2223</f>
        <v>0</v>
      </c>
      <c r="BI2223" s="93">
        <f>G2223*AP2223</f>
        <v>0</v>
      </c>
      <c r="BJ2223" s="93">
        <f>G2223*H2223</f>
        <v>0</v>
      </c>
      <c r="BK2223" s="93"/>
      <c r="BL2223" s="93">
        <v>784</v>
      </c>
      <c r="BW2223" s="93" t="str">
        <f>I2223</f>
        <v>21</v>
      </c>
      <c r="BX2223" s="2" t="s">
        <v>2882</v>
      </c>
    </row>
    <row r="2224" spans="1:76" s="81" customFormat="1" x14ac:dyDescent="0.25">
      <c r="A2224" s="110"/>
      <c r="B2224" s="95"/>
      <c r="C2224" s="95"/>
      <c r="D2224" s="76" t="s">
        <v>54</v>
      </c>
      <c r="E2224" s="76" t="s">
        <v>308</v>
      </c>
      <c r="F2224" s="95"/>
      <c r="G2224" s="96">
        <v>0</v>
      </c>
      <c r="H2224" s="95"/>
      <c r="I2224" s="95"/>
      <c r="J2224" s="95"/>
      <c r="K2224" s="95"/>
      <c r="L2224" s="95"/>
      <c r="M2224" s="95"/>
      <c r="N2224" s="95"/>
      <c r="O2224" s="95"/>
      <c r="P2224" s="95"/>
    </row>
    <row r="2225" spans="1:76" s="81" customFormat="1" x14ac:dyDescent="0.25">
      <c r="A2225" s="110"/>
      <c r="B2225" s="95"/>
      <c r="C2225" s="95"/>
      <c r="D2225" s="76" t="s">
        <v>2856</v>
      </c>
      <c r="E2225" s="76" t="s">
        <v>2883</v>
      </c>
      <c r="F2225" s="95"/>
      <c r="G2225" s="96">
        <v>25.63045</v>
      </c>
      <c r="H2225" s="95"/>
      <c r="I2225" s="95"/>
      <c r="J2225" s="95"/>
      <c r="K2225" s="95"/>
      <c r="L2225" s="95"/>
      <c r="M2225" s="95"/>
      <c r="N2225" s="95"/>
      <c r="O2225" s="95"/>
      <c r="P2225" s="95"/>
    </row>
    <row r="2226" spans="1:76" s="81" customFormat="1" x14ac:dyDescent="0.25">
      <c r="A2226" s="109" t="s">
        <v>54</v>
      </c>
      <c r="B2226" s="74" t="s">
        <v>55</v>
      </c>
      <c r="C2226" s="74" t="s">
        <v>2884</v>
      </c>
      <c r="D2226" s="180" t="s">
        <v>2885</v>
      </c>
      <c r="E2226" s="180"/>
      <c r="F2226" s="85" t="s">
        <v>4</v>
      </c>
      <c r="G2226" s="85" t="s">
        <v>4</v>
      </c>
      <c r="H2226" s="85" t="s">
        <v>4</v>
      </c>
      <c r="I2226" s="85" t="s">
        <v>4</v>
      </c>
      <c r="J2226" s="86">
        <f>SUM(J2227:J2229)</f>
        <v>0</v>
      </c>
      <c r="K2226" s="86">
        <f>SUM(K2227:K2229)</f>
        <v>0</v>
      </c>
      <c r="L2226" s="86">
        <f>SUM(L2227:L2229)</f>
        <v>0</v>
      </c>
      <c r="M2226" s="86">
        <f>SUM(M2227:M2229)</f>
        <v>0</v>
      </c>
      <c r="N2226" s="87" t="s">
        <v>54</v>
      </c>
      <c r="O2226" s="86">
        <f>SUM(O2227:O2229)</f>
        <v>0.1454</v>
      </c>
      <c r="P2226" s="87" t="s">
        <v>54</v>
      </c>
      <c r="AI2226" s="88" t="s">
        <v>55</v>
      </c>
      <c r="AS2226" s="89">
        <f>SUM(AJ2227:AJ2229)</f>
        <v>0</v>
      </c>
      <c r="AT2226" s="89">
        <f>SUM(AK2227:AK2229)</f>
        <v>0</v>
      </c>
      <c r="AU2226" s="89">
        <f>SUM(AL2227:AL2229)</f>
        <v>0</v>
      </c>
    </row>
    <row r="2227" spans="1:76" s="81" customFormat="1" ht="25.5" x14ac:dyDescent="0.25">
      <c r="A2227" s="66" t="s">
        <v>2898</v>
      </c>
      <c r="B2227" s="72" t="s">
        <v>55</v>
      </c>
      <c r="C2227" s="72" t="s">
        <v>2887</v>
      </c>
      <c r="D2227" s="174" t="s">
        <v>2888</v>
      </c>
      <c r="E2227" s="174"/>
      <c r="F2227" s="72" t="s">
        <v>203</v>
      </c>
      <c r="G2227" s="90">
        <v>18</v>
      </c>
      <c r="H2227" s="91"/>
      <c r="I2227" s="92" t="s">
        <v>63</v>
      </c>
      <c r="J2227" s="90">
        <f>G2227*AO2227</f>
        <v>0</v>
      </c>
      <c r="K2227" s="90">
        <f>G2227*AP2227</f>
        <v>0</v>
      </c>
      <c r="L2227" s="90">
        <f>G2227*H2227</f>
        <v>0</v>
      </c>
      <c r="M2227" s="90">
        <f>L2227*(1+BW2227/100)</f>
        <v>0</v>
      </c>
      <c r="N2227" s="90">
        <v>7.4000000000000003E-3</v>
      </c>
      <c r="O2227" s="90">
        <f>G2227*N2227</f>
        <v>0.13320000000000001</v>
      </c>
      <c r="P2227" s="92" t="s">
        <v>371</v>
      </c>
      <c r="Z2227" s="93">
        <f>IF(AQ2227="5",BJ2227,0)</f>
        <v>0</v>
      </c>
      <c r="AB2227" s="93">
        <f>IF(AQ2227="1",BH2227,0)</f>
        <v>0</v>
      </c>
      <c r="AC2227" s="93">
        <f>IF(AQ2227="1",BI2227,0)</f>
        <v>0</v>
      </c>
      <c r="AD2227" s="93">
        <f>IF(AQ2227="7",BH2227,0)</f>
        <v>0</v>
      </c>
      <c r="AE2227" s="93">
        <f>IF(AQ2227="7",BI2227,0)</f>
        <v>0</v>
      </c>
      <c r="AF2227" s="93">
        <f>IF(AQ2227="2",BH2227,0)</f>
        <v>0</v>
      </c>
      <c r="AG2227" s="93">
        <f>IF(AQ2227="2",BI2227,0)</f>
        <v>0</v>
      </c>
      <c r="AH2227" s="93">
        <f>IF(AQ2227="0",BJ2227,0)</f>
        <v>0</v>
      </c>
      <c r="AI2227" s="88" t="s">
        <v>55</v>
      </c>
      <c r="AJ2227" s="93">
        <f>IF(AN2227=0,L2227,0)</f>
        <v>0</v>
      </c>
      <c r="AK2227" s="93">
        <f>IF(AN2227=12,L2227,0)</f>
        <v>0</v>
      </c>
      <c r="AL2227" s="93">
        <f>IF(AN2227=21,L2227,0)</f>
        <v>0</v>
      </c>
      <c r="AN2227" s="93">
        <v>21</v>
      </c>
      <c r="AO2227" s="93">
        <f>H2227*0.840963415</f>
        <v>0</v>
      </c>
      <c r="AP2227" s="93">
        <f>H2227*(1-0.840963415)</f>
        <v>0</v>
      </c>
      <c r="AQ2227" s="94" t="s">
        <v>148</v>
      </c>
      <c r="AV2227" s="93">
        <f>AW2227+AX2227</f>
        <v>0</v>
      </c>
      <c r="AW2227" s="93">
        <f>G2227*AO2227</f>
        <v>0</v>
      </c>
      <c r="AX2227" s="93">
        <f>G2227*AP2227</f>
        <v>0</v>
      </c>
      <c r="AY2227" s="94" t="s">
        <v>2889</v>
      </c>
      <c r="AZ2227" s="94" t="s">
        <v>2808</v>
      </c>
      <c r="BA2227" s="88" t="s">
        <v>67</v>
      </c>
      <c r="BC2227" s="93">
        <f>AW2227+AX2227</f>
        <v>0</v>
      </c>
      <c r="BD2227" s="93">
        <f>H2227/(100-BE2227)*100</f>
        <v>0</v>
      </c>
      <c r="BE2227" s="93">
        <v>0</v>
      </c>
      <c r="BF2227" s="93">
        <f>O2227</f>
        <v>0.13320000000000001</v>
      </c>
      <c r="BH2227" s="93">
        <f>G2227*AO2227</f>
        <v>0</v>
      </c>
      <c r="BI2227" s="93">
        <f>G2227*AP2227</f>
        <v>0</v>
      </c>
      <c r="BJ2227" s="93">
        <f>G2227*H2227</f>
        <v>0</v>
      </c>
      <c r="BK2227" s="93"/>
      <c r="BL2227" s="93">
        <v>786</v>
      </c>
      <c r="BW2227" s="93" t="str">
        <f>I2227</f>
        <v>21</v>
      </c>
      <c r="BX2227" s="2" t="s">
        <v>2888</v>
      </c>
    </row>
    <row r="2228" spans="1:76" s="81" customFormat="1" ht="25.5" x14ac:dyDescent="0.25">
      <c r="A2228" s="66" t="s">
        <v>2905</v>
      </c>
      <c r="B2228" s="72" t="s">
        <v>55</v>
      </c>
      <c r="C2228" s="72" t="s">
        <v>2891</v>
      </c>
      <c r="D2228" s="174" t="s">
        <v>2892</v>
      </c>
      <c r="E2228" s="174"/>
      <c r="F2228" s="72" t="s">
        <v>203</v>
      </c>
      <c r="G2228" s="90">
        <v>1</v>
      </c>
      <c r="H2228" s="91"/>
      <c r="I2228" s="92" t="s">
        <v>63</v>
      </c>
      <c r="J2228" s="90">
        <f>G2228*AO2228</f>
        <v>0</v>
      </c>
      <c r="K2228" s="90">
        <f>G2228*AP2228</f>
        <v>0</v>
      </c>
      <c r="L2228" s="90">
        <f>G2228*H2228</f>
        <v>0</v>
      </c>
      <c r="M2228" s="90">
        <f>L2228*(1+BW2228/100)</f>
        <v>0</v>
      </c>
      <c r="N2228" s="90">
        <v>1.2200000000000001E-2</v>
      </c>
      <c r="O2228" s="90">
        <f>G2228*N2228</f>
        <v>1.2200000000000001E-2</v>
      </c>
      <c r="P2228" s="92" t="s">
        <v>371</v>
      </c>
      <c r="Z2228" s="93">
        <f>IF(AQ2228="5",BJ2228,0)</f>
        <v>0</v>
      </c>
      <c r="AB2228" s="93">
        <f>IF(AQ2228="1",BH2228,0)</f>
        <v>0</v>
      </c>
      <c r="AC2228" s="93">
        <f>IF(AQ2228="1",BI2228,0)</f>
        <v>0</v>
      </c>
      <c r="AD2228" s="93">
        <f>IF(AQ2228="7",BH2228,0)</f>
        <v>0</v>
      </c>
      <c r="AE2228" s="93">
        <f>IF(AQ2228="7",BI2228,0)</f>
        <v>0</v>
      </c>
      <c r="AF2228" s="93">
        <f>IF(AQ2228="2",BH2228,0)</f>
        <v>0</v>
      </c>
      <c r="AG2228" s="93">
        <f>IF(AQ2228="2",BI2228,0)</f>
        <v>0</v>
      </c>
      <c r="AH2228" s="93">
        <f>IF(AQ2228="0",BJ2228,0)</f>
        <v>0</v>
      </c>
      <c r="AI2228" s="88" t="s">
        <v>55</v>
      </c>
      <c r="AJ2228" s="93">
        <f>IF(AN2228=0,L2228,0)</f>
        <v>0</v>
      </c>
      <c r="AK2228" s="93">
        <f>IF(AN2228=12,L2228,0)</f>
        <v>0</v>
      </c>
      <c r="AL2228" s="93">
        <f>IF(AN2228=21,L2228,0)</f>
        <v>0</v>
      </c>
      <c r="AN2228" s="93">
        <v>21</v>
      </c>
      <c r="AO2228" s="93">
        <f>H2228*0.876026574</f>
        <v>0</v>
      </c>
      <c r="AP2228" s="93">
        <f>H2228*(1-0.876026574)</f>
        <v>0</v>
      </c>
      <c r="AQ2228" s="94" t="s">
        <v>148</v>
      </c>
      <c r="AV2228" s="93">
        <f>AW2228+AX2228</f>
        <v>0</v>
      </c>
      <c r="AW2228" s="93">
        <f>G2228*AO2228</f>
        <v>0</v>
      </c>
      <c r="AX2228" s="93">
        <f>G2228*AP2228</f>
        <v>0</v>
      </c>
      <c r="AY2228" s="94" t="s">
        <v>2889</v>
      </c>
      <c r="AZ2228" s="94" t="s">
        <v>2808</v>
      </c>
      <c r="BA2228" s="88" t="s">
        <v>67</v>
      </c>
      <c r="BC2228" s="93">
        <f>AW2228+AX2228</f>
        <v>0</v>
      </c>
      <c r="BD2228" s="93">
        <f>H2228/(100-BE2228)*100</f>
        <v>0</v>
      </c>
      <c r="BE2228" s="93">
        <v>0</v>
      </c>
      <c r="BF2228" s="93">
        <f>O2228</f>
        <v>1.2200000000000001E-2</v>
      </c>
      <c r="BH2228" s="93">
        <f>G2228*AO2228</f>
        <v>0</v>
      </c>
      <c r="BI2228" s="93">
        <f>G2228*AP2228</f>
        <v>0</v>
      </c>
      <c r="BJ2228" s="93">
        <f>G2228*H2228</f>
        <v>0</v>
      </c>
      <c r="BK2228" s="93"/>
      <c r="BL2228" s="93">
        <v>786</v>
      </c>
      <c r="BW2228" s="93" t="str">
        <f>I2228</f>
        <v>21</v>
      </c>
      <c r="BX2228" s="2" t="s">
        <v>2892</v>
      </c>
    </row>
    <row r="2229" spans="1:76" s="81" customFormat="1" ht="25.5" x14ac:dyDescent="0.25">
      <c r="A2229" s="66" t="s">
        <v>2910</v>
      </c>
      <c r="B2229" s="72" t="s">
        <v>55</v>
      </c>
      <c r="C2229" s="72" t="s">
        <v>2894</v>
      </c>
      <c r="D2229" s="174" t="s">
        <v>2895</v>
      </c>
      <c r="E2229" s="174"/>
      <c r="F2229" s="72" t="s">
        <v>1447</v>
      </c>
      <c r="G2229" s="91"/>
      <c r="H2229" s="91"/>
      <c r="I2229" s="92" t="s">
        <v>63</v>
      </c>
      <c r="J2229" s="90">
        <f>G2229*AO2229</f>
        <v>0</v>
      </c>
      <c r="K2229" s="90">
        <f>G2229*AP2229</f>
        <v>0</v>
      </c>
      <c r="L2229" s="90">
        <f>G2229*H2229</f>
        <v>0</v>
      </c>
      <c r="M2229" s="90">
        <f>L2229*(1+BW2229/100)</f>
        <v>0</v>
      </c>
      <c r="N2229" s="90">
        <v>0</v>
      </c>
      <c r="O2229" s="90">
        <f>G2229*N2229</f>
        <v>0</v>
      </c>
      <c r="P2229" s="92" t="s">
        <v>64</v>
      </c>
      <c r="Z2229" s="93">
        <f>IF(AQ2229="5",BJ2229,0)</f>
        <v>0</v>
      </c>
      <c r="AB2229" s="93">
        <f>IF(AQ2229="1",BH2229,0)</f>
        <v>0</v>
      </c>
      <c r="AC2229" s="93">
        <f>IF(AQ2229="1",BI2229,0)</f>
        <v>0</v>
      </c>
      <c r="AD2229" s="93">
        <f>IF(AQ2229="7",BH2229,0)</f>
        <v>0</v>
      </c>
      <c r="AE2229" s="93">
        <f>IF(AQ2229="7",BI2229,0)</f>
        <v>0</v>
      </c>
      <c r="AF2229" s="93">
        <f>IF(AQ2229="2",BH2229,0)</f>
        <v>0</v>
      </c>
      <c r="AG2229" s="93">
        <f>IF(AQ2229="2",BI2229,0)</f>
        <v>0</v>
      </c>
      <c r="AH2229" s="93">
        <f>IF(AQ2229="0",BJ2229,0)</f>
        <v>0</v>
      </c>
      <c r="AI2229" s="88" t="s">
        <v>55</v>
      </c>
      <c r="AJ2229" s="93">
        <f>IF(AN2229=0,L2229,0)</f>
        <v>0</v>
      </c>
      <c r="AK2229" s="93">
        <f>IF(AN2229=12,L2229,0)</f>
        <v>0</v>
      </c>
      <c r="AL2229" s="93">
        <f>IF(AN2229=21,L2229,0)</f>
        <v>0</v>
      </c>
      <c r="AN2229" s="93">
        <v>21</v>
      </c>
      <c r="AO2229" s="93">
        <f>H2229*0</f>
        <v>0</v>
      </c>
      <c r="AP2229" s="93">
        <f>H2229*(1-0)</f>
        <v>0</v>
      </c>
      <c r="AQ2229" s="94" t="s">
        <v>136</v>
      </c>
      <c r="AV2229" s="93">
        <f>AW2229+AX2229</f>
        <v>0</v>
      </c>
      <c r="AW2229" s="93">
        <f>G2229*AO2229</f>
        <v>0</v>
      </c>
      <c r="AX2229" s="93">
        <f>G2229*AP2229</f>
        <v>0</v>
      </c>
      <c r="AY2229" s="94" t="s">
        <v>2889</v>
      </c>
      <c r="AZ2229" s="94" t="s">
        <v>2808</v>
      </c>
      <c r="BA2229" s="88" t="s">
        <v>67</v>
      </c>
      <c r="BC2229" s="93">
        <f>AW2229+AX2229</f>
        <v>0</v>
      </c>
      <c r="BD2229" s="93">
        <f>H2229/(100-BE2229)*100</f>
        <v>0</v>
      </c>
      <c r="BE2229" s="93">
        <v>0</v>
      </c>
      <c r="BF2229" s="93">
        <f>O2229</f>
        <v>0</v>
      </c>
      <c r="BH2229" s="93">
        <f>G2229*AO2229</f>
        <v>0</v>
      </c>
      <c r="BI2229" s="93">
        <f>G2229*AP2229</f>
        <v>0</v>
      </c>
      <c r="BJ2229" s="93">
        <f>G2229*H2229</f>
        <v>0</v>
      </c>
      <c r="BK2229" s="93"/>
      <c r="BL2229" s="93">
        <v>786</v>
      </c>
      <c r="BW2229" s="93" t="str">
        <f>I2229</f>
        <v>21</v>
      </c>
      <c r="BX2229" s="2" t="s">
        <v>2895</v>
      </c>
    </row>
    <row r="2230" spans="1:76" s="81" customFormat="1" x14ac:dyDescent="0.25">
      <c r="A2230" s="109" t="s">
        <v>54</v>
      </c>
      <c r="B2230" s="74" t="s">
        <v>55</v>
      </c>
      <c r="C2230" s="74" t="s">
        <v>2896</v>
      </c>
      <c r="D2230" s="180" t="s">
        <v>2897</v>
      </c>
      <c r="E2230" s="180"/>
      <c r="F2230" s="85" t="s">
        <v>4</v>
      </c>
      <c r="G2230" s="85" t="s">
        <v>4</v>
      </c>
      <c r="H2230" s="85" t="s">
        <v>4</v>
      </c>
      <c r="I2230" s="85" t="s">
        <v>4</v>
      </c>
      <c r="J2230" s="86">
        <f>SUM(J2231:J2234)</f>
        <v>0</v>
      </c>
      <c r="K2230" s="86">
        <f>SUM(K2231:K2234)</f>
        <v>0</v>
      </c>
      <c r="L2230" s="86">
        <f>SUM(L2231:L2234)</f>
        <v>0</v>
      </c>
      <c r="M2230" s="86">
        <f>SUM(M2231:M2234)</f>
        <v>0</v>
      </c>
      <c r="N2230" s="87" t="s">
        <v>54</v>
      </c>
      <c r="O2230" s="86">
        <f>SUM(O2231:O2234)</f>
        <v>0.16669812000000001</v>
      </c>
      <c r="P2230" s="87" t="s">
        <v>54</v>
      </c>
      <c r="AI2230" s="88" t="s">
        <v>55</v>
      </c>
      <c r="AS2230" s="89">
        <f>SUM(AJ2231:AJ2234)</f>
        <v>0</v>
      </c>
      <c r="AT2230" s="89">
        <f>SUM(AK2231:AK2234)</f>
        <v>0</v>
      </c>
      <c r="AU2230" s="89">
        <f>SUM(AL2231:AL2234)</f>
        <v>0</v>
      </c>
    </row>
    <row r="2231" spans="1:76" s="81" customFormat="1" ht="25.5" x14ac:dyDescent="0.25">
      <c r="A2231" s="66" t="s">
        <v>2915</v>
      </c>
      <c r="B2231" s="72" t="s">
        <v>55</v>
      </c>
      <c r="C2231" s="72" t="s">
        <v>2899</v>
      </c>
      <c r="D2231" s="174" t="s">
        <v>2900</v>
      </c>
      <c r="E2231" s="174"/>
      <c r="F2231" s="72" t="s">
        <v>192</v>
      </c>
      <c r="G2231" s="90">
        <v>3.7109999999999999</v>
      </c>
      <c r="H2231" s="91"/>
      <c r="I2231" s="92" t="s">
        <v>63</v>
      </c>
      <c r="J2231" s="90">
        <f>G2231*AO2231</f>
        <v>0</v>
      </c>
      <c r="K2231" s="90">
        <f>G2231*AP2231</f>
        <v>0</v>
      </c>
      <c r="L2231" s="90">
        <f>G2231*H2231</f>
        <v>0</v>
      </c>
      <c r="M2231" s="90">
        <f>L2231*(1+BW2231/100)</f>
        <v>0</v>
      </c>
      <c r="N2231" s="90">
        <v>4.4920000000000002E-2</v>
      </c>
      <c r="O2231" s="90">
        <f>G2231*N2231</f>
        <v>0.16669812000000001</v>
      </c>
      <c r="P2231" s="92" t="s">
        <v>578</v>
      </c>
      <c r="Z2231" s="93">
        <f>IF(AQ2231="5",BJ2231,0)</f>
        <v>0</v>
      </c>
      <c r="AB2231" s="93">
        <f>IF(AQ2231="1",BH2231,0)</f>
        <v>0</v>
      </c>
      <c r="AC2231" s="93">
        <f>IF(AQ2231="1",BI2231,0)</f>
        <v>0</v>
      </c>
      <c r="AD2231" s="93">
        <f>IF(AQ2231="7",BH2231,0)</f>
        <v>0</v>
      </c>
      <c r="AE2231" s="93">
        <f>IF(AQ2231="7",BI2231,0)</f>
        <v>0</v>
      </c>
      <c r="AF2231" s="93">
        <f>IF(AQ2231="2",BH2231,0)</f>
        <v>0</v>
      </c>
      <c r="AG2231" s="93">
        <f>IF(AQ2231="2",BI2231,0)</f>
        <v>0</v>
      </c>
      <c r="AH2231" s="93">
        <f>IF(AQ2231="0",BJ2231,0)</f>
        <v>0</v>
      </c>
      <c r="AI2231" s="88" t="s">
        <v>55</v>
      </c>
      <c r="AJ2231" s="93">
        <f>IF(AN2231=0,L2231,0)</f>
        <v>0</v>
      </c>
      <c r="AK2231" s="93">
        <f>IF(AN2231=12,L2231,0)</f>
        <v>0</v>
      </c>
      <c r="AL2231" s="93">
        <f>IF(AN2231=21,L2231,0)</f>
        <v>0</v>
      </c>
      <c r="AN2231" s="93">
        <v>21</v>
      </c>
      <c r="AO2231" s="93">
        <f>H2231*0.8616853</f>
        <v>0</v>
      </c>
      <c r="AP2231" s="93">
        <f>H2231*(1-0.8616853)</f>
        <v>0</v>
      </c>
      <c r="AQ2231" s="94" t="s">
        <v>148</v>
      </c>
      <c r="AV2231" s="93">
        <f>AW2231+AX2231</f>
        <v>0</v>
      </c>
      <c r="AW2231" s="93">
        <f>G2231*AO2231</f>
        <v>0</v>
      </c>
      <c r="AX2231" s="93">
        <f>G2231*AP2231</f>
        <v>0</v>
      </c>
      <c r="AY2231" s="94" t="s">
        <v>2901</v>
      </c>
      <c r="AZ2231" s="94" t="s">
        <v>2808</v>
      </c>
      <c r="BA2231" s="88" t="s">
        <v>67</v>
      </c>
      <c r="BC2231" s="93">
        <f>AW2231+AX2231</f>
        <v>0</v>
      </c>
      <c r="BD2231" s="93">
        <f>H2231/(100-BE2231)*100</f>
        <v>0</v>
      </c>
      <c r="BE2231" s="93">
        <v>0</v>
      </c>
      <c r="BF2231" s="93">
        <f>O2231</f>
        <v>0.16669812000000001</v>
      </c>
      <c r="BH2231" s="93">
        <f>G2231*AO2231</f>
        <v>0</v>
      </c>
      <c r="BI2231" s="93">
        <f>G2231*AP2231</f>
        <v>0</v>
      </c>
      <c r="BJ2231" s="93">
        <f>G2231*H2231</f>
        <v>0</v>
      </c>
      <c r="BK2231" s="93"/>
      <c r="BL2231" s="93">
        <v>787</v>
      </c>
      <c r="BW2231" s="93" t="str">
        <f>I2231</f>
        <v>21</v>
      </c>
      <c r="BX2231" s="2" t="s">
        <v>2900</v>
      </c>
    </row>
    <row r="2232" spans="1:76" s="81" customFormat="1" ht="13.5" customHeight="1" x14ac:dyDescent="0.25">
      <c r="A2232" s="110"/>
      <c r="B2232" s="95"/>
      <c r="C2232" s="95"/>
      <c r="D2232" s="179" t="s">
        <v>2902</v>
      </c>
      <c r="E2232" s="179"/>
      <c r="F2232" s="179"/>
      <c r="G2232" s="179"/>
      <c r="H2232" s="179"/>
      <c r="I2232" s="179"/>
      <c r="J2232" s="179"/>
      <c r="K2232" s="179"/>
      <c r="L2232" s="179"/>
      <c r="M2232" s="179"/>
      <c r="N2232" s="179"/>
      <c r="O2232" s="179"/>
      <c r="P2232" s="179"/>
    </row>
    <row r="2233" spans="1:76" s="81" customFormat="1" x14ac:dyDescent="0.25">
      <c r="A2233" s="110"/>
      <c r="B2233" s="95"/>
      <c r="C2233" s="95"/>
      <c r="D2233" s="76" t="s">
        <v>2903</v>
      </c>
      <c r="E2233" s="76" t="s">
        <v>2904</v>
      </c>
      <c r="F2233" s="95"/>
      <c r="G2233" s="96">
        <v>3.7109999999999999</v>
      </c>
      <c r="H2233" s="95"/>
      <c r="I2233" s="95"/>
      <c r="J2233" s="95"/>
      <c r="K2233" s="95"/>
      <c r="L2233" s="95"/>
      <c r="M2233" s="95"/>
      <c r="N2233" s="95"/>
      <c r="O2233" s="95"/>
      <c r="P2233" s="95"/>
    </row>
    <row r="2234" spans="1:76" s="81" customFormat="1" ht="25.5" x14ac:dyDescent="0.25">
      <c r="A2234" s="66" t="s">
        <v>2918</v>
      </c>
      <c r="B2234" s="72" t="s">
        <v>55</v>
      </c>
      <c r="C2234" s="72" t="s">
        <v>2906</v>
      </c>
      <c r="D2234" s="174" t="s">
        <v>2907</v>
      </c>
      <c r="E2234" s="174"/>
      <c r="F2234" s="72" t="s">
        <v>1447</v>
      </c>
      <c r="G2234" s="91"/>
      <c r="H2234" s="91"/>
      <c r="I2234" s="92" t="s">
        <v>63</v>
      </c>
      <c r="J2234" s="90">
        <f>G2234*AO2234</f>
        <v>0</v>
      </c>
      <c r="K2234" s="90">
        <f>G2234*AP2234</f>
        <v>0</v>
      </c>
      <c r="L2234" s="90">
        <f>G2234*H2234</f>
        <v>0</v>
      </c>
      <c r="M2234" s="90">
        <f>L2234*(1+BW2234/100)</f>
        <v>0</v>
      </c>
      <c r="N2234" s="90">
        <v>0</v>
      </c>
      <c r="O2234" s="90">
        <f>G2234*N2234</f>
        <v>0</v>
      </c>
      <c r="P2234" s="92" t="s">
        <v>64</v>
      </c>
      <c r="Z2234" s="93">
        <f>IF(AQ2234="5",BJ2234,0)</f>
        <v>0</v>
      </c>
      <c r="AB2234" s="93">
        <f>IF(AQ2234="1",BH2234,0)</f>
        <v>0</v>
      </c>
      <c r="AC2234" s="93">
        <f>IF(AQ2234="1",BI2234,0)</f>
        <v>0</v>
      </c>
      <c r="AD2234" s="93">
        <f>IF(AQ2234="7",BH2234,0)</f>
        <v>0</v>
      </c>
      <c r="AE2234" s="93">
        <f>IF(AQ2234="7",BI2234,0)</f>
        <v>0</v>
      </c>
      <c r="AF2234" s="93">
        <f>IF(AQ2234="2",BH2234,0)</f>
        <v>0</v>
      </c>
      <c r="AG2234" s="93">
        <f>IF(AQ2234="2",BI2234,0)</f>
        <v>0</v>
      </c>
      <c r="AH2234" s="93">
        <f>IF(AQ2234="0",BJ2234,0)</f>
        <v>0</v>
      </c>
      <c r="AI2234" s="88" t="s">
        <v>55</v>
      </c>
      <c r="AJ2234" s="93">
        <f>IF(AN2234=0,L2234,0)</f>
        <v>0</v>
      </c>
      <c r="AK2234" s="93">
        <f>IF(AN2234=12,L2234,0)</f>
        <v>0</v>
      </c>
      <c r="AL2234" s="93">
        <f>IF(AN2234=21,L2234,0)</f>
        <v>0</v>
      </c>
      <c r="AN2234" s="93">
        <v>21</v>
      </c>
      <c r="AO2234" s="93">
        <f>H2234*0</f>
        <v>0</v>
      </c>
      <c r="AP2234" s="93">
        <f>H2234*(1-0)</f>
        <v>0</v>
      </c>
      <c r="AQ2234" s="94" t="s">
        <v>136</v>
      </c>
      <c r="AV2234" s="93">
        <f>AW2234+AX2234</f>
        <v>0</v>
      </c>
      <c r="AW2234" s="93">
        <f>G2234*AO2234</f>
        <v>0</v>
      </c>
      <c r="AX2234" s="93">
        <f>G2234*AP2234</f>
        <v>0</v>
      </c>
      <c r="AY2234" s="94" t="s">
        <v>2901</v>
      </c>
      <c r="AZ2234" s="94" t="s">
        <v>2808</v>
      </c>
      <c r="BA2234" s="88" t="s">
        <v>67</v>
      </c>
      <c r="BC2234" s="93">
        <f>AW2234+AX2234</f>
        <v>0</v>
      </c>
      <c r="BD2234" s="93">
        <f>H2234/(100-BE2234)*100</f>
        <v>0</v>
      </c>
      <c r="BE2234" s="93">
        <v>0</v>
      </c>
      <c r="BF2234" s="93">
        <f>O2234</f>
        <v>0</v>
      </c>
      <c r="BH2234" s="93">
        <f>G2234*AO2234</f>
        <v>0</v>
      </c>
      <c r="BI2234" s="93">
        <f>G2234*AP2234</f>
        <v>0</v>
      </c>
      <c r="BJ2234" s="93">
        <f>G2234*H2234</f>
        <v>0</v>
      </c>
      <c r="BK2234" s="93"/>
      <c r="BL2234" s="93">
        <v>787</v>
      </c>
      <c r="BW2234" s="93" t="str">
        <f>I2234</f>
        <v>21</v>
      </c>
      <c r="BX2234" s="2" t="s">
        <v>2907</v>
      </c>
    </row>
    <row r="2235" spans="1:76" s="81" customFormat="1" x14ac:dyDescent="0.25">
      <c r="A2235" s="109" t="s">
        <v>54</v>
      </c>
      <c r="B2235" s="74" t="s">
        <v>55</v>
      </c>
      <c r="C2235" s="74" t="s">
        <v>2908</v>
      </c>
      <c r="D2235" s="180" t="s">
        <v>2909</v>
      </c>
      <c r="E2235" s="180"/>
      <c r="F2235" s="85" t="s">
        <v>4</v>
      </c>
      <c r="G2235" s="85" t="s">
        <v>4</v>
      </c>
      <c r="H2235" s="85" t="s">
        <v>4</v>
      </c>
      <c r="I2235" s="85" t="s">
        <v>4</v>
      </c>
      <c r="J2235" s="86">
        <f>SUM(J2236:J2238)</f>
        <v>0</v>
      </c>
      <c r="K2235" s="86">
        <f>SUM(K2236:K2238)</f>
        <v>0</v>
      </c>
      <c r="L2235" s="86">
        <f>SUM(L2236:L2238)</f>
        <v>0</v>
      </c>
      <c r="M2235" s="86">
        <f>SUM(M2236:M2238)</f>
        <v>0</v>
      </c>
      <c r="N2235" s="87" t="s">
        <v>54</v>
      </c>
      <c r="O2235" s="86">
        <f>SUM(O2236:O2238)</f>
        <v>0.128</v>
      </c>
      <c r="P2235" s="87" t="s">
        <v>54</v>
      </c>
      <c r="AI2235" s="88" t="s">
        <v>55</v>
      </c>
      <c r="AS2235" s="89">
        <f>SUM(AJ2236:AJ2238)</f>
        <v>0</v>
      </c>
      <c r="AT2235" s="89">
        <f>SUM(AK2236:AK2238)</f>
        <v>0</v>
      </c>
      <c r="AU2235" s="89">
        <f>SUM(AL2236:AL2238)</f>
        <v>0</v>
      </c>
    </row>
    <row r="2236" spans="1:76" s="81" customFormat="1" ht="25.5" x14ac:dyDescent="0.25">
      <c r="A2236" s="66" t="s">
        <v>2923</v>
      </c>
      <c r="B2236" s="72" t="s">
        <v>55</v>
      </c>
      <c r="C2236" s="72" t="s">
        <v>2911</v>
      </c>
      <c r="D2236" s="174" t="s">
        <v>2912</v>
      </c>
      <c r="E2236" s="174"/>
      <c r="F2236" s="72" t="s">
        <v>203</v>
      </c>
      <c r="G2236" s="90">
        <v>1</v>
      </c>
      <c r="H2236" s="91"/>
      <c r="I2236" s="92" t="s">
        <v>63</v>
      </c>
      <c r="J2236" s="90">
        <f>G2236*AO2236</f>
        <v>0</v>
      </c>
      <c r="K2236" s="90">
        <f>G2236*AP2236</f>
        <v>0</v>
      </c>
      <c r="L2236" s="90">
        <f>G2236*H2236</f>
        <v>0</v>
      </c>
      <c r="M2236" s="90">
        <f>L2236*(1+BW2236/100)</f>
        <v>0</v>
      </c>
      <c r="N2236" s="90">
        <v>0</v>
      </c>
      <c r="O2236" s="90">
        <f>G2236*N2236</f>
        <v>0</v>
      </c>
      <c r="P2236" s="92" t="s">
        <v>64</v>
      </c>
      <c r="Z2236" s="93">
        <f>IF(AQ2236="5",BJ2236,0)</f>
        <v>0</v>
      </c>
      <c r="AB2236" s="93">
        <f>IF(AQ2236="1",BH2236,0)</f>
        <v>0</v>
      </c>
      <c r="AC2236" s="93">
        <f>IF(AQ2236="1",BI2236,0)</f>
        <v>0</v>
      </c>
      <c r="AD2236" s="93">
        <f>IF(AQ2236="7",BH2236,0)</f>
        <v>0</v>
      </c>
      <c r="AE2236" s="93">
        <f>IF(AQ2236="7",BI2236,0)</f>
        <v>0</v>
      </c>
      <c r="AF2236" s="93">
        <f>IF(AQ2236="2",BH2236,0)</f>
        <v>0</v>
      </c>
      <c r="AG2236" s="93">
        <f>IF(AQ2236="2",BI2236,0)</f>
        <v>0</v>
      </c>
      <c r="AH2236" s="93">
        <f>IF(AQ2236="0",BJ2236,0)</f>
        <v>0</v>
      </c>
      <c r="AI2236" s="88" t="s">
        <v>55</v>
      </c>
      <c r="AJ2236" s="93">
        <f>IF(AN2236=0,L2236,0)</f>
        <v>0</v>
      </c>
      <c r="AK2236" s="93">
        <f>IF(AN2236=12,L2236,0)</f>
        <v>0</v>
      </c>
      <c r="AL2236" s="93">
        <f>IF(AN2236=21,L2236,0)</f>
        <v>0</v>
      </c>
      <c r="AN2236" s="93">
        <v>21</v>
      </c>
      <c r="AO2236" s="93">
        <f>H2236*0</f>
        <v>0</v>
      </c>
      <c r="AP2236" s="93">
        <f>H2236*(1-0)</f>
        <v>0</v>
      </c>
      <c r="AQ2236" s="94" t="s">
        <v>148</v>
      </c>
      <c r="AV2236" s="93">
        <f>AW2236+AX2236</f>
        <v>0</v>
      </c>
      <c r="AW2236" s="93">
        <f>G2236*AO2236</f>
        <v>0</v>
      </c>
      <c r="AX2236" s="93">
        <f>G2236*AP2236</f>
        <v>0</v>
      </c>
      <c r="AY2236" s="94" t="s">
        <v>2913</v>
      </c>
      <c r="AZ2236" s="94" t="s">
        <v>2914</v>
      </c>
      <c r="BA2236" s="88" t="s">
        <v>67</v>
      </c>
      <c r="BC2236" s="93">
        <f>AW2236+AX2236</f>
        <v>0</v>
      </c>
      <c r="BD2236" s="93">
        <f>H2236/(100-BE2236)*100</f>
        <v>0</v>
      </c>
      <c r="BE2236" s="93">
        <v>0</v>
      </c>
      <c r="BF2236" s="93">
        <f>O2236</f>
        <v>0</v>
      </c>
      <c r="BH2236" s="93">
        <f>G2236*AO2236</f>
        <v>0</v>
      </c>
      <c r="BI2236" s="93">
        <f>G2236*AP2236</f>
        <v>0</v>
      </c>
      <c r="BJ2236" s="93">
        <f>G2236*H2236</f>
        <v>0</v>
      </c>
      <c r="BK2236" s="93"/>
      <c r="BL2236" s="93">
        <v>795</v>
      </c>
      <c r="BW2236" s="93" t="str">
        <f>I2236</f>
        <v>21</v>
      </c>
      <c r="BX2236" s="2" t="s">
        <v>2912</v>
      </c>
    </row>
    <row r="2237" spans="1:76" s="81" customFormat="1" ht="25.5" x14ac:dyDescent="0.25">
      <c r="A2237" s="66" t="s">
        <v>2929</v>
      </c>
      <c r="B2237" s="72" t="s">
        <v>55</v>
      </c>
      <c r="C2237" s="72" t="s">
        <v>2916</v>
      </c>
      <c r="D2237" s="174" t="s">
        <v>2917</v>
      </c>
      <c r="E2237" s="174"/>
      <c r="F2237" s="72" t="s">
        <v>203</v>
      </c>
      <c r="G2237" s="90">
        <v>1</v>
      </c>
      <c r="H2237" s="91"/>
      <c r="I2237" s="92" t="s">
        <v>63</v>
      </c>
      <c r="J2237" s="90">
        <f>G2237*AO2237</f>
        <v>0</v>
      </c>
      <c r="K2237" s="90">
        <f>G2237*AP2237</f>
        <v>0</v>
      </c>
      <c r="L2237" s="90">
        <f>G2237*H2237</f>
        <v>0</v>
      </c>
      <c r="M2237" s="90">
        <f>L2237*(1+BW2237/100)</f>
        <v>0</v>
      </c>
      <c r="N2237" s="90">
        <v>0.128</v>
      </c>
      <c r="O2237" s="90">
        <f>G2237*N2237</f>
        <v>0.128</v>
      </c>
      <c r="P2237" s="92" t="s">
        <v>578</v>
      </c>
      <c r="Z2237" s="93">
        <f>IF(AQ2237="5",BJ2237,0)</f>
        <v>0</v>
      </c>
      <c r="AB2237" s="93">
        <f>IF(AQ2237="1",BH2237,0)</f>
        <v>0</v>
      </c>
      <c r="AC2237" s="93">
        <f>IF(AQ2237="1",BI2237,0)</f>
        <v>0</v>
      </c>
      <c r="AD2237" s="93">
        <f>IF(AQ2237="7",BH2237,0)</f>
        <v>0</v>
      </c>
      <c r="AE2237" s="93">
        <f>IF(AQ2237="7",BI2237,0)</f>
        <v>0</v>
      </c>
      <c r="AF2237" s="93">
        <f>IF(AQ2237="2",BH2237,0)</f>
        <v>0</v>
      </c>
      <c r="AG2237" s="93">
        <f>IF(AQ2237="2",BI2237,0)</f>
        <v>0</v>
      </c>
      <c r="AH2237" s="93">
        <f>IF(AQ2237="0",BJ2237,0)</f>
        <v>0</v>
      </c>
      <c r="AI2237" s="88" t="s">
        <v>55</v>
      </c>
      <c r="AJ2237" s="93">
        <f>IF(AN2237=0,L2237,0)</f>
        <v>0</v>
      </c>
      <c r="AK2237" s="93">
        <f>IF(AN2237=12,L2237,0)</f>
        <v>0</v>
      </c>
      <c r="AL2237" s="93">
        <f>IF(AN2237=21,L2237,0)</f>
        <v>0</v>
      </c>
      <c r="AN2237" s="93">
        <v>21</v>
      </c>
      <c r="AO2237" s="93">
        <f>H2237*1</f>
        <v>0</v>
      </c>
      <c r="AP2237" s="93">
        <f>H2237*(1-1)</f>
        <v>0</v>
      </c>
      <c r="AQ2237" s="94" t="s">
        <v>148</v>
      </c>
      <c r="AV2237" s="93">
        <f>AW2237+AX2237</f>
        <v>0</v>
      </c>
      <c r="AW2237" s="93">
        <f>G2237*AO2237</f>
        <v>0</v>
      </c>
      <c r="AX2237" s="93">
        <f>G2237*AP2237</f>
        <v>0</v>
      </c>
      <c r="AY2237" s="94" t="s">
        <v>2913</v>
      </c>
      <c r="AZ2237" s="94" t="s">
        <v>2914</v>
      </c>
      <c r="BA2237" s="88" t="s">
        <v>67</v>
      </c>
      <c r="BC2237" s="93">
        <f>AW2237+AX2237</f>
        <v>0</v>
      </c>
      <c r="BD2237" s="93">
        <f>H2237/(100-BE2237)*100</f>
        <v>0</v>
      </c>
      <c r="BE2237" s="93">
        <v>0</v>
      </c>
      <c r="BF2237" s="93">
        <f>O2237</f>
        <v>0.128</v>
      </c>
      <c r="BH2237" s="93">
        <f>G2237*AO2237</f>
        <v>0</v>
      </c>
      <c r="BI2237" s="93">
        <f>G2237*AP2237</f>
        <v>0</v>
      </c>
      <c r="BJ2237" s="93">
        <f>G2237*H2237</f>
        <v>0</v>
      </c>
      <c r="BK2237" s="93"/>
      <c r="BL2237" s="93">
        <v>795</v>
      </c>
      <c r="BW2237" s="93" t="str">
        <f>I2237</f>
        <v>21</v>
      </c>
      <c r="BX2237" s="2" t="s">
        <v>2917</v>
      </c>
    </row>
    <row r="2238" spans="1:76" s="81" customFormat="1" ht="25.5" x14ac:dyDescent="0.25">
      <c r="A2238" s="66" t="s">
        <v>2626</v>
      </c>
      <c r="B2238" s="72" t="s">
        <v>55</v>
      </c>
      <c r="C2238" s="72" t="s">
        <v>2919</v>
      </c>
      <c r="D2238" s="174" t="s">
        <v>2920</v>
      </c>
      <c r="E2238" s="174"/>
      <c r="F2238" s="72" t="s">
        <v>1447</v>
      </c>
      <c r="G2238" s="91"/>
      <c r="H2238" s="91"/>
      <c r="I2238" s="92" t="s">
        <v>63</v>
      </c>
      <c r="J2238" s="90">
        <f>G2238*AO2238</f>
        <v>0</v>
      </c>
      <c r="K2238" s="90">
        <f>G2238*AP2238</f>
        <v>0</v>
      </c>
      <c r="L2238" s="90">
        <f>G2238*H2238</f>
        <v>0</v>
      </c>
      <c r="M2238" s="90">
        <f>L2238*(1+BW2238/100)</f>
        <v>0</v>
      </c>
      <c r="N2238" s="90">
        <v>0</v>
      </c>
      <c r="O2238" s="90">
        <f>G2238*N2238</f>
        <v>0</v>
      </c>
      <c r="P2238" s="92" t="s">
        <v>64</v>
      </c>
      <c r="Z2238" s="93">
        <f>IF(AQ2238="5",BJ2238,0)</f>
        <v>0</v>
      </c>
      <c r="AB2238" s="93">
        <f>IF(AQ2238="1",BH2238,0)</f>
        <v>0</v>
      </c>
      <c r="AC2238" s="93">
        <f>IF(AQ2238="1",BI2238,0)</f>
        <v>0</v>
      </c>
      <c r="AD2238" s="93">
        <f>IF(AQ2238="7",BH2238,0)</f>
        <v>0</v>
      </c>
      <c r="AE2238" s="93">
        <f>IF(AQ2238="7",BI2238,0)</f>
        <v>0</v>
      </c>
      <c r="AF2238" s="93">
        <f>IF(AQ2238="2",BH2238,0)</f>
        <v>0</v>
      </c>
      <c r="AG2238" s="93">
        <f>IF(AQ2238="2",BI2238,0)</f>
        <v>0</v>
      </c>
      <c r="AH2238" s="93">
        <f>IF(AQ2238="0",BJ2238,0)</f>
        <v>0</v>
      </c>
      <c r="AI2238" s="88" t="s">
        <v>55</v>
      </c>
      <c r="AJ2238" s="93">
        <f>IF(AN2238=0,L2238,0)</f>
        <v>0</v>
      </c>
      <c r="AK2238" s="93">
        <f>IF(AN2238=12,L2238,0)</f>
        <v>0</v>
      </c>
      <c r="AL2238" s="93">
        <f>IF(AN2238=21,L2238,0)</f>
        <v>0</v>
      </c>
      <c r="AN2238" s="93">
        <v>21</v>
      </c>
      <c r="AO2238" s="93">
        <f>H2238*0</f>
        <v>0</v>
      </c>
      <c r="AP2238" s="93">
        <f>H2238*(1-0)</f>
        <v>0</v>
      </c>
      <c r="AQ2238" s="94" t="s">
        <v>136</v>
      </c>
      <c r="AV2238" s="93">
        <f>AW2238+AX2238</f>
        <v>0</v>
      </c>
      <c r="AW2238" s="93">
        <f>G2238*AO2238</f>
        <v>0</v>
      </c>
      <c r="AX2238" s="93">
        <f>G2238*AP2238</f>
        <v>0</v>
      </c>
      <c r="AY2238" s="94" t="s">
        <v>2913</v>
      </c>
      <c r="AZ2238" s="94" t="s">
        <v>2914</v>
      </c>
      <c r="BA2238" s="88" t="s">
        <v>67</v>
      </c>
      <c r="BC2238" s="93">
        <f>AW2238+AX2238</f>
        <v>0</v>
      </c>
      <c r="BD2238" s="93">
        <f>H2238/(100-BE2238)*100</f>
        <v>0</v>
      </c>
      <c r="BE2238" s="93">
        <v>0</v>
      </c>
      <c r="BF2238" s="93">
        <f>O2238</f>
        <v>0</v>
      </c>
      <c r="BH2238" s="93">
        <f>G2238*AO2238</f>
        <v>0</v>
      </c>
      <c r="BI2238" s="93">
        <f>G2238*AP2238</f>
        <v>0</v>
      </c>
      <c r="BJ2238" s="93">
        <f>G2238*H2238</f>
        <v>0</v>
      </c>
      <c r="BK2238" s="93"/>
      <c r="BL2238" s="93">
        <v>795</v>
      </c>
      <c r="BW2238" s="93" t="str">
        <f>I2238</f>
        <v>21</v>
      </c>
      <c r="BX2238" s="2" t="s">
        <v>2920</v>
      </c>
    </row>
    <row r="2239" spans="1:76" s="81" customFormat="1" x14ac:dyDescent="0.25">
      <c r="A2239" s="109" t="s">
        <v>54</v>
      </c>
      <c r="B2239" s="74" t="s">
        <v>55</v>
      </c>
      <c r="C2239" s="74" t="s">
        <v>2921</v>
      </c>
      <c r="D2239" s="180" t="s">
        <v>2922</v>
      </c>
      <c r="E2239" s="180"/>
      <c r="F2239" s="85" t="s">
        <v>4</v>
      </c>
      <c r="G2239" s="85" t="s">
        <v>4</v>
      </c>
      <c r="H2239" s="85" t="s">
        <v>4</v>
      </c>
      <c r="I2239" s="85" t="s">
        <v>4</v>
      </c>
      <c r="J2239" s="86">
        <f>SUM(J2240:J2358)</f>
        <v>0</v>
      </c>
      <c r="K2239" s="86">
        <f>SUM(K2240:K2358)</f>
        <v>0</v>
      </c>
      <c r="L2239" s="86">
        <f>SUM(L2240:L2358)</f>
        <v>0</v>
      </c>
      <c r="M2239" s="86">
        <f>SUM(M2240:M2358)</f>
        <v>0</v>
      </c>
      <c r="N2239" s="87" t="s">
        <v>54</v>
      </c>
      <c r="O2239" s="86">
        <f>SUM(O2240:O2358)</f>
        <v>482.91546720000019</v>
      </c>
      <c r="P2239" s="87" t="s">
        <v>54</v>
      </c>
      <c r="AI2239" s="88" t="s">
        <v>55</v>
      </c>
      <c r="AS2239" s="89">
        <f>SUM(AJ2240:AJ2358)</f>
        <v>0</v>
      </c>
      <c r="AT2239" s="89">
        <f>SUM(AK2240:AK2358)</f>
        <v>0</v>
      </c>
      <c r="AU2239" s="89">
        <f>SUM(AL2240:AL2358)</f>
        <v>0</v>
      </c>
    </row>
    <row r="2240" spans="1:76" s="81" customFormat="1" ht="25.5" x14ac:dyDescent="0.25">
      <c r="A2240" s="66" t="s">
        <v>2937</v>
      </c>
      <c r="B2240" s="72" t="s">
        <v>55</v>
      </c>
      <c r="C2240" s="72" t="s">
        <v>2924</v>
      </c>
      <c r="D2240" s="174" t="s">
        <v>2925</v>
      </c>
      <c r="E2240" s="174"/>
      <c r="F2240" s="72" t="s">
        <v>62</v>
      </c>
      <c r="G2240" s="90">
        <v>478.8</v>
      </c>
      <c r="H2240" s="91"/>
      <c r="I2240" s="92" t="s">
        <v>63</v>
      </c>
      <c r="J2240" s="90">
        <f>G2240*AO2240</f>
        <v>0</v>
      </c>
      <c r="K2240" s="90">
        <f>G2240*AP2240</f>
        <v>0</v>
      </c>
      <c r="L2240" s="90">
        <f>G2240*H2240</f>
        <v>0</v>
      </c>
      <c r="M2240" s="90">
        <f>L2240*(1+BW2240/100)</f>
        <v>0</v>
      </c>
      <c r="N2240" s="90">
        <v>0</v>
      </c>
      <c r="O2240" s="90">
        <f>G2240*N2240</f>
        <v>0</v>
      </c>
      <c r="P2240" s="92" t="s">
        <v>64</v>
      </c>
      <c r="Z2240" s="93">
        <f>IF(AQ2240="5",BJ2240,0)</f>
        <v>0</v>
      </c>
      <c r="AB2240" s="93">
        <f>IF(AQ2240="1",BH2240,0)</f>
        <v>0</v>
      </c>
      <c r="AC2240" s="93">
        <f>IF(AQ2240="1",BI2240,0)</f>
        <v>0</v>
      </c>
      <c r="AD2240" s="93">
        <f>IF(AQ2240="7",BH2240,0)</f>
        <v>0</v>
      </c>
      <c r="AE2240" s="93">
        <f>IF(AQ2240="7",BI2240,0)</f>
        <v>0</v>
      </c>
      <c r="AF2240" s="93">
        <f>IF(AQ2240="2",BH2240,0)</f>
        <v>0</v>
      </c>
      <c r="AG2240" s="93">
        <f>IF(AQ2240="2",BI2240,0)</f>
        <v>0</v>
      </c>
      <c r="AH2240" s="93">
        <f>IF(AQ2240="0",BJ2240,0)</f>
        <v>0</v>
      </c>
      <c r="AI2240" s="88" t="s">
        <v>55</v>
      </c>
      <c r="AJ2240" s="93">
        <f>IF(AN2240=0,L2240,0)</f>
        <v>0</v>
      </c>
      <c r="AK2240" s="93">
        <f>IF(AN2240=12,L2240,0)</f>
        <v>0</v>
      </c>
      <c r="AL2240" s="93">
        <f>IF(AN2240=21,L2240,0)</f>
        <v>0</v>
      </c>
      <c r="AN2240" s="93">
        <v>21</v>
      </c>
      <c r="AO2240" s="93">
        <f>H2240*0</f>
        <v>0</v>
      </c>
      <c r="AP2240" s="93">
        <f>H2240*(1-0)</f>
        <v>0</v>
      </c>
      <c r="AQ2240" s="94" t="s">
        <v>148</v>
      </c>
      <c r="AV2240" s="93">
        <f>AW2240+AX2240</f>
        <v>0</v>
      </c>
      <c r="AW2240" s="93">
        <f>G2240*AO2240</f>
        <v>0</v>
      </c>
      <c r="AX2240" s="93">
        <f>G2240*AP2240</f>
        <v>0</v>
      </c>
      <c r="AY2240" s="94" t="s">
        <v>2926</v>
      </c>
      <c r="AZ2240" s="94" t="s">
        <v>2927</v>
      </c>
      <c r="BA2240" s="88" t="s">
        <v>67</v>
      </c>
      <c r="BC2240" s="93">
        <f>AW2240+AX2240</f>
        <v>0</v>
      </c>
      <c r="BD2240" s="93">
        <f>H2240/(100-BE2240)*100</f>
        <v>0</v>
      </c>
      <c r="BE2240" s="93">
        <v>0</v>
      </c>
      <c r="BF2240" s="93">
        <f>O2240</f>
        <v>0</v>
      </c>
      <c r="BH2240" s="93">
        <f>G2240*AO2240</f>
        <v>0</v>
      </c>
      <c r="BI2240" s="93">
        <f>G2240*AP2240</f>
        <v>0</v>
      </c>
      <c r="BJ2240" s="93">
        <f>G2240*H2240</f>
        <v>0</v>
      </c>
      <c r="BK2240" s="93"/>
      <c r="BL2240" s="93"/>
      <c r="BW2240" s="93" t="str">
        <f>I2240</f>
        <v>21</v>
      </c>
      <c r="BX2240" s="2" t="s">
        <v>2925</v>
      </c>
    </row>
    <row r="2241" spans="1:76" s="81" customFormat="1" x14ac:dyDescent="0.25">
      <c r="A2241" s="110"/>
      <c r="B2241" s="95"/>
      <c r="C2241" s="95"/>
      <c r="D2241" s="76" t="s">
        <v>2928</v>
      </c>
      <c r="E2241" s="76" t="s">
        <v>2619</v>
      </c>
      <c r="F2241" s="95"/>
      <c r="G2241" s="96">
        <v>478.8</v>
      </c>
      <c r="H2241" s="95"/>
      <c r="I2241" s="95"/>
      <c r="J2241" s="95"/>
      <c r="K2241" s="95"/>
      <c r="L2241" s="95"/>
      <c r="M2241" s="95"/>
      <c r="N2241" s="95"/>
      <c r="O2241" s="95"/>
      <c r="P2241" s="95"/>
    </row>
    <row r="2242" spans="1:76" s="81" customFormat="1" ht="25.5" x14ac:dyDescent="0.25">
      <c r="A2242" s="66" t="s">
        <v>2942</v>
      </c>
      <c r="B2242" s="72" t="s">
        <v>55</v>
      </c>
      <c r="C2242" s="72" t="s">
        <v>2930</v>
      </c>
      <c r="D2242" s="174" t="s">
        <v>2931</v>
      </c>
      <c r="E2242" s="174"/>
      <c r="F2242" s="72" t="s">
        <v>62</v>
      </c>
      <c r="G2242" s="90">
        <v>337.46100000000001</v>
      </c>
      <c r="H2242" s="91"/>
      <c r="I2242" s="92" t="s">
        <v>63</v>
      </c>
      <c r="J2242" s="90">
        <f>G2242*AO2242</f>
        <v>0</v>
      </c>
      <c r="K2242" s="90">
        <f>G2242*AP2242</f>
        <v>0</v>
      </c>
      <c r="L2242" s="90">
        <f>G2242*H2242</f>
        <v>0</v>
      </c>
      <c r="M2242" s="90">
        <f>L2242*(1+BW2242/100)</f>
        <v>0</v>
      </c>
      <c r="N2242" s="90">
        <v>0</v>
      </c>
      <c r="O2242" s="90">
        <f>G2242*N2242</f>
        <v>0</v>
      </c>
      <c r="P2242" s="92" t="s">
        <v>64</v>
      </c>
      <c r="Z2242" s="93">
        <f>IF(AQ2242="5",BJ2242,0)</f>
        <v>0</v>
      </c>
      <c r="AB2242" s="93">
        <f>IF(AQ2242="1",BH2242,0)</f>
        <v>0</v>
      </c>
      <c r="AC2242" s="93">
        <f>IF(AQ2242="1",BI2242,0)</f>
        <v>0</v>
      </c>
      <c r="AD2242" s="93">
        <f>IF(AQ2242="7",BH2242,0)</f>
        <v>0</v>
      </c>
      <c r="AE2242" s="93">
        <f>IF(AQ2242="7",BI2242,0)</f>
        <v>0</v>
      </c>
      <c r="AF2242" s="93">
        <f>IF(AQ2242="2",BH2242,0)</f>
        <v>0</v>
      </c>
      <c r="AG2242" s="93">
        <f>IF(AQ2242="2",BI2242,0)</f>
        <v>0</v>
      </c>
      <c r="AH2242" s="93">
        <f>IF(AQ2242="0",BJ2242,0)</f>
        <v>0</v>
      </c>
      <c r="AI2242" s="88" t="s">
        <v>55</v>
      </c>
      <c r="AJ2242" s="93">
        <f>IF(AN2242=0,L2242,0)</f>
        <v>0</v>
      </c>
      <c r="AK2242" s="93">
        <f>IF(AN2242=12,L2242,0)</f>
        <v>0</v>
      </c>
      <c r="AL2242" s="93">
        <f>IF(AN2242=21,L2242,0)</f>
        <v>0</v>
      </c>
      <c r="AN2242" s="93">
        <v>21</v>
      </c>
      <c r="AO2242" s="93">
        <f>H2242*0</f>
        <v>0</v>
      </c>
      <c r="AP2242" s="93">
        <f>H2242*(1-0)</f>
        <v>0</v>
      </c>
      <c r="AQ2242" s="94" t="s">
        <v>148</v>
      </c>
      <c r="AV2242" s="93">
        <f>AW2242+AX2242</f>
        <v>0</v>
      </c>
      <c r="AW2242" s="93">
        <f>G2242*AO2242</f>
        <v>0</v>
      </c>
      <c r="AX2242" s="93">
        <f>G2242*AP2242</f>
        <v>0</v>
      </c>
      <c r="AY2242" s="94" t="s">
        <v>2926</v>
      </c>
      <c r="AZ2242" s="94" t="s">
        <v>2927</v>
      </c>
      <c r="BA2242" s="88" t="s">
        <v>67</v>
      </c>
      <c r="BC2242" s="93">
        <f>AW2242+AX2242</f>
        <v>0</v>
      </c>
      <c r="BD2242" s="93">
        <f>H2242/(100-BE2242)*100</f>
        <v>0</v>
      </c>
      <c r="BE2242" s="93">
        <v>0</v>
      </c>
      <c r="BF2242" s="93">
        <f>O2242</f>
        <v>0</v>
      </c>
      <c r="BH2242" s="93">
        <f>G2242*AO2242</f>
        <v>0</v>
      </c>
      <c r="BI2242" s="93">
        <f>G2242*AP2242</f>
        <v>0</v>
      </c>
      <c r="BJ2242" s="93">
        <f>G2242*H2242</f>
        <v>0</v>
      </c>
      <c r="BK2242" s="93"/>
      <c r="BL2242" s="93"/>
      <c r="BW2242" s="93" t="str">
        <f>I2242</f>
        <v>21</v>
      </c>
      <c r="BX2242" s="2" t="s">
        <v>2931</v>
      </c>
    </row>
    <row r="2243" spans="1:76" s="81" customFormat="1" x14ac:dyDescent="0.25">
      <c r="A2243" s="110"/>
      <c r="B2243" s="95"/>
      <c r="C2243" s="95"/>
      <c r="D2243" s="76" t="s">
        <v>54</v>
      </c>
      <c r="E2243" s="76" t="s">
        <v>2932</v>
      </c>
      <c r="F2243" s="95"/>
      <c r="G2243" s="96">
        <v>0</v>
      </c>
      <c r="H2243" s="95"/>
      <c r="I2243" s="95"/>
      <c r="J2243" s="95"/>
      <c r="K2243" s="95"/>
      <c r="L2243" s="95"/>
      <c r="M2243" s="95"/>
      <c r="N2243" s="95"/>
      <c r="O2243" s="95"/>
      <c r="P2243" s="95"/>
    </row>
    <row r="2244" spans="1:76" s="81" customFormat="1" x14ac:dyDescent="0.25">
      <c r="A2244" s="110"/>
      <c r="B2244" s="95"/>
      <c r="C2244" s="95"/>
      <c r="D2244" s="76" t="s">
        <v>2933</v>
      </c>
      <c r="E2244" s="76" t="s">
        <v>54</v>
      </c>
      <c r="F2244" s="95"/>
      <c r="G2244" s="96">
        <v>186.62100000000001</v>
      </c>
      <c r="H2244" s="95"/>
      <c r="I2244" s="95"/>
      <c r="J2244" s="95"/>
      <c r="K2244" s="95"/>
      <c r="L2244" s="95"/>
      <c r="M2244" s="95"/>
      <c r="N2244" s="95"/>
      <c r="O2244" s="95"/>
      <c r="P2244" s="95"/>
    </row>
    <row r="2245" spans="1:76" s="81" customFormat="1" x14ac:dyDescent="0.25">
      <c r="A2245" s="110"/>
      <c r="B2245" s="95"/>
      <c r="C2245" s="95"/>
      <c r="D2245" s="76" t="s">
        <v>54</v>
      </c>
      <c r="E2245" s="76" t="s">
        <v>2934</v>
      </c>
      <c r="F2245" s="95"/>
      <c r="G2245" s="96">
        <v>0</v>
      </c>
      <c r="H2245" s="95"/>
      <c r="I2245" s="95"/>
      <c r="J2245" s="95"/>
      <c r="K2245" s="95"/>
      <c r="L2245" s="95"/>
      <c r="M2245" s="95"/>
      <c r="N2245" s="95"/>
      <c r="O2245" s="95"/>
      <c r="P2245" s="95"/>
    </row>
    <row r="2246" spans="1:76" s="81" customFormat="1" x14ac:dyDescent="0.25">
      <c r="A2246" s="110"/>
      <c r="B2246" s="95"/>
      <c r="C2246" s="95"/>
      <c r="D2246" s="76" t="s">
        <v>2935</v>
      </c>
      <c r="E2246" s="76" t="s">
        <v>54</v>
      </c>
      <c r="F2246" s="95"/>
      <c r="G2246" s="96">
        <v>150.84</v>
      </c>
      <c r="H2246" s="95"/>
      <c r="I2246" s="95"/>
      <c r="J2246" s="95"/>
      <c r="K2246" s="95"/>
      <c r="L2246" s="95"/>
      <c r="M2246" s="95"/>
      <c r="N2246" s="95"/>
      <c r="O2246" s="95"/>
      <c r="P2246" s="95"/>
    </row>
    <row r="2247" spans="1:76" s="81" customFormat="1" ht="25.5" x14ac:dyDescent="0.25">
      <c r="A2247" s="66" t="s">
        <v>2945</v>
      </c>
      <c r="B2247" s="72" t="s">
        <v>55</v>
      </c>
      <c r="C2247" s="72" t="s">
        <v>131</v>
      </c>
      <c r="D2247" s="174" t="s">
        <v>132</v>
      </c>
      <c r="E2247" s="174"/>
      <c r="F2247" s="72" t="s">
        <v>62</v>
      </c>
      <c r="G2247" s="90">
        <v>168.73050000000001</v>
      </c>
      <c r="H2247" s="91"/>
      <c r="I2247" s="92" t="s">
        <v>63</v>
      </c>
      <c r="J2247" s="90">
        <f>G2247*AO2247</f>
        <v>0</v>
      </c>
      <c r="K2247" s="90">
        <f>G2247*AP2247</f>
        <v>0</v>
      </c>
      <c r="L2247" s="90">
        <f>G2247*H2247</f>
        <v>0</v>
      </c>
      <c r="M2247" s="90">
        <f>L2247*(1+BW2247/100)</f>
        <v>0</v>
      </c>
      <c r="N2247" s="90">
        <v>0</v>
      </c>
      <c r="O2247" s="90">
        <f>G2247*N2247</f>
        <v>0</v>
      </c>
      <c r="P2247" s="92" t="s">
        <v>64</v>
      </c>
      <c r="Z2247" s="93">
        <f>IF(AQ2247="5",BJ2247,0)</f>
        <v>0</v>
      </c>
      <c r="AB2247" s="93">
        <f>IF(AQ2247="1",BH2247,0)</f>
        <v>0</v>
      </c>
      <c r="AC2247" s="93">
        <f>IF(AQ2247="1",BI2247,0)</f>
        <v>0</v>
      </c>
      <c r="AD2247" s="93">
        <f>IF(AQ2247="7",BH2247,0)</f>
        <v>0</v>
      </c>
      <c r="AE2247" s="93">
        <f>IF(AQ2247="7",BI2247,0)</f>
        <v>0</v>
      </c>
      <c r="AF2247" s="93">
        <f>IF(AQ2247="2",BH2247,0)</f>
        <v>0</v>
      </c>
      <c r="AG2247" s="93">
        <f>IF(AQ2247="2",BI2247,0)</f>
        <v>0</v>
      </c>
      <c r="AH2247" s="93">
        <f>IF(AQ2247="0",BJ2247,0)</f>
        <v>0</v>
      </c>
      <c r="AI2247" s="88" t="s">
        <v>55</v>
      </c>
      <c r="AJ2247" s="93">
        <f>IF(AN2247=0,L2247,0)</f>
        <v>0</v>
      </c>
      <c r="AK2247" s="93">
        <f>IF(AN2247=12,L2247,0)</f>
        <v>0</v>
      </c>
      <c r="AL2247" s="93">
        <f>IF(AN2247=21,L2247,0)</f>
        <v>0</v>
      </c>
      <c r="AN2247" s="93">
        <v>21</v>
      </c>
      <c r="AO2247" s="93">
        <f>H2247*0</f>
        <v>0</v>
      </c>
      <c r="AP2247" s="93">
        <f>H2247*(1-0)</f>
        <v>0</v>
      </c>
      <c r="AQ2247" s="94" t="s">
        <v>148</v>
      </c>
      <c r="AV2247" s="93">
        <f>AW2247+AX2247</f>
        <v>0</v>
      </c>
      <c r="AW2247" s="93">
        <f>G2247*AO2247</f>
        <v>0</v>
      </c>
      <c r="AX2247" s="93">
        <f>G2247*AP2247</f>
        <v>0</v>
      </c>
      <c r="AY2247" s="94" t="s">
        <v>2926</v>
      </c>
      <c r="AZ2247" s="94" t="s">
        <v>2927</v>
      </c>
      <c r="BA2247" s="88" t="s">
        <v>67</v>
      </c>
      <c r="BC2247" s="93">
        <f>AW2247+AX2247</f>
        <v>0</v>
      </c>
      <c r="BD2247" s="93">
        <f>H2247/(100-BE2247)*100</f>
        <v>0</v>
      </c>
      <c r="BE2247" s="93">
        <v>0</v>
      </c>
      <c r="BF2247" s="93">
        <f>O2247</f>
        <v>0</v>
      </c>
      <c r="BH2247" s="93">
        <f>G2247*AO2247</f>
        <v>0</v>
      </c>
      <c r="BI2247" s="93">
        <f>G2247*AP2247</f>
        <v>0</v>
      </c>
      <c r="BJ2247" s="93">
        <f>G2247*H2247</f>
        <v>0</v>
      </c>
      <c r="BK2247" s="93"/>
      <c r="BL2247" s="93"/>
      <c r="BW2247" s="93" t="str">
        <f>I2247</f>
        <v>21</v>
      </c>
      <c r="BX2247" s="2" t="s">
        <v>132</v>
      </c>
    </row>
    <row r="2248" spans="1:76" s="81" customFormat="1" x14ac:dyDescent="0.25">
      <c r="A2248" s="110"/>
      <c r="B2248" s="95"/>
      <c r="C2248" s="95"/>
      <c r="D2248" s="76" t="s">
        <v>2936</v>
      </c>
      <c r="E2248" s="76" t="s">
        <v>54</v>
      </c>
      <c r="F2248" s="95"/>
      <c r="G2248" s="96">
        <v>168.73050000000001</v>
      </c>
      <c r="H2248" s="95"/>
      <c r="I2248" s="95"/>
      <c r="J2248" s="95"/>
      <c r="K2248" s="95"/>
      <c r="L2248" s="95"/>
      <c r="M2248" s="95"/>
      <c r="N2248" s="95"/>
      <c r="O2248" s="95"/>
      <c r="P2248" s="95"/>
    </row>
    <row r="2249" spans="1:76" s="81" customFormat="1" ht="25.5" x14ac:dyDescent="0.25">
      <c r="A2249" s="66" t="s">
        <v>2948</v>
      </c>
      <c r="B2249" s="72" t="s">
        <v>55</v>
      </c>
      <c r="C2249" s="72" t="s">
        <v>60</v>
      </c>
      <c r="D2249" s="174" t="s">
        <v>61</v>
      </c>
      <c r="E2249" s="174"/>
      <c r="F2249" s="72" t="s">
        <v>62</v>
      </c>
      <c r="G2249" s="90">
        <v>942.29624999999999</v>
      </c>
      <c r="H2249" s="91"/>
      <c r="I2249" s="92" t="s">
        <v>63</v>
      </c>
      <c r="J2249" s="90">
        <f>G2249*AO2249</f>
        <v>0</v>
      </c>
      <c r="K2249" s="90">
        <f>G2249*AP2249</f>
        <v>0</v>
      </c>
      <c r="L2249" s="90">
        <f>G2249*H2249</f>
        <v>0</v>
      </c>
      <c r="M2249" s="90">
        <f>L2249*(1+BW2249/100)</f>
        <v>0</v>
      </c>
      <c r="N2249" s="90">
        <v>0</v>
      </c>
      <c r="O2249" s="90">
        <f>G2249*N2249</f>
        <v>0</v>
      </c>
      <c r="P2249" s="92" t="s">
        <v>64</v>
      </c>
      <c r="Z2249" s="93">
        <f>IF(AQ2249="5",BJ2249,0)</f>
        <v>0</v>
      </c>
      <c r="AB2249" s="93">
        <f>IF(AQ2249="1",BH2249,0)</f>
        <v>0</v>
      </c>
      <c r="AC2249" s="93">
        <f>IF(AQ2249="1",BI2249,0)</f>
        <v>0</v>
      </c>
      <c r="AD2249" s="93">
        <f>IF(AQ2249="7",BH2249,0)</f>
        <v>0</v>
      </c>
      <c r="AE2249" s="93">
        <f>IF(AQ2249="7",BI2249,0)</f>
        <v>0</v>
      </c>
      <c r="AF2249" s="93">
        <f>IF(AQ2249="2",BH2249,0)</f>
        <v>0</v>
      </c>
      <c r="AG2249" s="93">
        <f>IF(AQ2249="2",BI2249,0)</f>
        <v>0</v>
      </c>
      <c r="AH2249" s="93">
        <f>IF(AQ2249="0",BJ2249,0)</f>
        <v>0</v>
      </c>
      <c r="AI2249" s="88" t="s">
        <v>55</v>
      </c>
      <c r="AJ2249" s="93">
        <f>IF(AN2249=0,L2249,0)</f>
        <v>0</v>
      </c>
      <c r="AK2249" s="93">
        <f>IF(AN2249=12,L2249,0)</f>
        <v>0</v>
      </c>
      <c r="AL2249" s="93">
        <f>IF(AN2249=21,L2249,0)</f>
        <v>0</v>
      </c>
      <c r="AN2249" s="93">
        <v>21</v>
      </c>
      <c r="AO2249" s="93">
        <f>H2249*0</f>
        <v>0</v>
      </c>
      <c r="AP2249" s="93">
        <f>H2249*(1-0)</f>
        <v>0</v>
      </c>
      <c r="AQ2249" s="94" t="s">
        <v>148</v>
      </c>
      <c r="AV2249" s="93">
        <f>AW2249+AX2249</f>
        <v>0</v>
      </c>
      <c r="AW2249" s="93">
        <f>G2249*AO2249</f>
        <v>0</v>
      </c>
      <c r="AX2249" s="93">
        <f>G2249*AP2249</f>
        <v>0</v>
      </c>
      <c r="AY2249" s="94" t="s">
        <v>2926</v>
      </c>
      <c r="AZ2249" s="94" t="s">
        <v>2927</v>
      </c>
      <c r="BA2249" s="88" t="s">
        <v>67</v>
      </c>
      <c r="BC2249" s="93">
        <f>AW2249+AX2249</f>
        <v>0</v>
      </c>
      <c r="BD2249" s="93">
        <f>H2249/(100-BE2249)*100</f>
        <v>0</v>
      </c>
      <c r="BE2249" s="93">
        <v>0</v>
      </c>
      <c r="BF2249" s="93">
        <f>O2249</f>
        <v>0</v>
      </c>
      <c r="BH2249" s="93">
        <f>G2249*AO2249</f>
        <v>0</v>
      </c>
      <c r="BI2249" s="93">
        <f>G2249*AP2249</f>
        <v>0</v>
      </c>
      <c r="BJ2249" s="93">
        <f>G2249*H2249</f>
        <v>0</v>
      </c>
      <c r="BK2249" s="93"/>
      <c r="BL2249" s="93"/>
      <c r="BW2249" s="93" t="str">
        <f>I2249</f>
        <v>21</v>
      </c>
      <c r="BX2249" s="2" t="s">
        <v>61</v>
      </c>
    </row>
    <row r="2250" spans="1:76" s="81" customFormat="1" x14ac:dyDescent="0.25">
      <c r="A2250" s="110"/>
      <c r="B2250" s="95"/>
      <c r="C2250" s="95"/>
      <c r="D2250" s="76" t="s">
        <v>54</v>
      </c>
      <c r="E2250" s="76" t="s">
        <v>2938</v>
      </c>
      <c r="F2250" s="95"/>
      <c r="G2250" s="96">
        <v>0</v>
      </c>
      <c r="H2250" s="95"/>
      <c r="I2250" s="95"/>
      <c r="J2250" s="95"/>
      <c r="K2250" s="95"/>
      <c r="L2250" s="95"/>
      <c r="M2250" s="95"/>
      <c r="N2250" s="95"/>
      <c r="O2250" s="95"/>
      <c r="P2250" s="95"/>
    </row>
    <row r="2251" spans="1:76" s="81" customFormat="1" x14ac:dyDescent="0.25">
      <c r="A2251" s="110"/>
      <c r="B2251" s="95"/>
      <c r="C2251" s="95"/>
      <c r="D2251" s="76" t="s">
        <v>2939</v>
      </c>
      <c r="E2251" s="76" t="s">
        <v>54</v>
      </c>
      <c r="F2251" s="95"/>
      <c r="G2251" s="96">
        <v>103.27625</v>
      </c>
      <c r="H2251" s="95"/>
      <c r="I2251" s="95"/>
      <c r="J2251" s="95"/>
      <c r="K2251" s="95"/>
      <c r="L2251" s="95"/>
      <c r="M2251" s="95"/>
      <c r="N2251" s="95"/>
      <c r="O2251" s="95"/>
      <c r="P2251" s="95"/>
    </row>
    <row r="2252" spans="1:76" s="81" customFormat="1" x14ac:dyDescent="0.25">
      <c r="A2252" s="110"/>
      <c r="B2252" s="95"/>
      <c r="C2252" s="95"/>
      <c r="D2252" s="76" t="s">
        <v>54</v>
      </c>
      <c r="E2252" s="76" t="s">
        <v>2940</v>
      </c>
      <c r="F2252" s="95"/>
      <c r="G2252" s="96">
        <v>0</v>
      </c>
      <c r="H2252" s="95"/>
      <c r="I2252" s="95"/>
      <c r="J2252" s="95"/>
      <c r="K2252" s="95"/>
      <c r="L2252" s="95"/>
      <c r="M2252" s="95"/>
      <c r="N2252" s="95"/>
      <c r="O2252" s="95"/>
      <c r="P2252" s="95"/>
    </row>
    <row r="2253" spans="1:76" s="81" customFormat="1" ht="25.5" x14ac:dyDescent="0.25">
      <c r="A2253" s="110"/>
      <c r="B2253" s="95"/>
      <c r="C2253" s="95"/>
      <c r="D2253" s="76" t="s">
        <v>2941</v>
      </c>
      <c r="E2253" s="76" t="s">
        <v>54</v>
      </c>
      <c r="F2253" s="95"/>
      <c r="G2253" s="96">
        <v>839.02</v>
      </c>
      <c r="H2253" s="95"/>
      <c r="I2253" s="95"/>
      <c r="J2253" s="95"/>
      <c r="K2253" s="95"/>
      <c r="L2253" s="95"/>
      <c r="M2253" s="95"/>
      <c r="N2253" s="95"/>
      <c r="O2253" s="95"/>
      <c r="P2253" s="95"/>
    </row>
    <row r="2254" spans="1:76" s="81" customFormat="1" ht="25.5" x14ac:dyDescent="0.25">
      <c r="A2254" s="66" t="s">
        <v>2951</v>
      </c>
      <c r="B2254" s="72" t="s">
        <v>55</v>
      </c>
      <c r="C2254" s="72" t="s">
        <v>119</v>
      </c>
      <c r="D2254" s="174" t="s">
        <v>2943</v>
      </c>
      <c r="E2254" s="174"/>
      <c r="F2254" s="72" t="s">
        <v>62</v>
      </c>
      <c r="G2254" s="90">
        <v>471.14812000000001</v>
      </c>
      <c r="H2254" s="91"/>
      <c r="I2254" s="92" t="s">
        <v>63</v>
      </c>
      <c r="J2254" s="90">
        <f>G2254*AO2254</f>
        <v>0</v>
      </c>
      <c r="K2254" s="90">
        <f>G2254*AP2254</f>
        <v>0</v>
      </c>
      <c r="L2254" s="90">
        <f>G2254*H2254</f>
        <v>0</v>
      </c>
      <c r="M2254" s="90">
        <f>L2254*(1+BW2254/100)</f>
        <v>0</v>
      </c>
      <c r="N2254" s="90">
        <v>0</v>
      </c>
      <c r="O2254" s="90">
        <f>G2254*N2254</f>
        <v>0</v>
      </c>
      <c r="P2254" s="92" t="s">
        <v>64</v>
      </c>
      <c r="Z2254" s="93">
        <f>IF(AQ2254="5",BJ2254,0)</f>
        <v>0</v>
      </c>
      <c r="AB2254" s="93">
        <f>IF(AQ2254="1",BH2254,0)</f>
        <v>0</v>
      </c>
      <c r="AC2254" s="93">
        <f>IF(AQ2254="1",BI2254,0)</f>
        <v>0</v>
      </c>
      <c r="AD2254" s="93">
        <f>IF(AQ2254="7",BH2254,0)</f>
        <v>0</v>
      </c>
      <c r="AE2254" s="93">
        <f>IF(AQ2254="7",BI2254,0)</f>
        <v>0</v>
      </c>
      <c r="AF2254" s="93">
        <f>IF(AQ2254="2",BH2254,0)</f>
        <v>0</v>
      </c>
      <c r="AG2254" s="93">
        <f>IF(AQ2254="2",BI2254,0)</f>
        <v>0</v>
      </c>
      <c r="AH2254" s="93">
        <f>IF(AQ2254="0",BJ2254,0)</f>
        <v>0</v>
      </c>
      <c r="AI2254" s="88" t="s">
        <v>55</v>
      </c>
      <c r="AJ2254" s="93">
        <f>IF(AN2254=0,L2254,0)</f>
        <v>0</v>
      </c>
      <c r="AK2254" s="93">
        <f>IF(AN2254=12,L2254,0)</f>
        <v>0</v>
      </c>
      <c r="AL2254" s="93">
        <f>IF(AN2254=21,L2254,0)</f>
        <v>0</v>
      </c>
      <c r="AN2254" s="93">
        <v>21</v>
      </c>
      <c r="AO2254" s="93">
        <f>H2254*0</f>
        <v>0</v>
      </c>
      <c r="AP2254" s="93">
        <f>H2254*(1-0)</f>
        <v>0</v>
      </c>
      <c r="AQ2254" s="94" t="s">
        <v>148</v>
      </c>
      <c r="AV2254" s="93">
        <f>AW2254+AX2254</f>
        <v>0</v>
      </c>
      <c r="AW2254" s="93">
        <f>G2254*AO2254</f>
        <v>0</v>
      </c>
      <c r="AX2254" s="93">
        <f>G2254*AP2254</f>
        <v>0</v>
      </c>
      <c r="AY2254" s="94" t="s">
        <v>2926</v>
      </c>
      <c r="AZ2254" s="94" t="s">
        <v>2927</v>
      </c>
      <c r="BA2254" s="88" t="s">
        <v>67</v>
      </c>
      <c r="BC2254" s="93">
        <f>AW2254+AX2254</f>
        <v>0</v>
      </c>
      <c r="BD2254" s="93">
        <f>H2254/(100-BE2254)*100</f>
        <v>0</v>
      </c>
      <c r="BE2254" s="93">
        <v>0</v>
      </c>
      <c r="BF2254" s="93">
        <f>O2254</f>
        <v>0</v>
      </c>
      <c r="BH2254" s="93">
        <f>G2254*AO2254</f>
        <v>0</v>
      </c>
      <c r="BI2254" s="93">
        <f>G2254*AP2254</f>
        <v>0</v>
      </c>
      <c r="BJ2254" s="93">
        <f>G2254*H2254</f>
        <v>0</v>
      </c>
      <c r="BK2254" s="93"/>
      <c r="BL2254" s="93"/>
      <c r="BW2254" s="93" t="str">
        <f>I2254</f>
        <v>21</v>
      </c>
      <c r="BX2254" s="2" t="s">
        <v>2943</v>
      </c>
    </row>
    <row r="2255" spans="1:76" s="81" customFormat="1" x14ac:dyDescent="0.25">
      <c r="A2255" s="110"/>
      <c r="B2255" s="95"/>
      <c r="C2255" s="95"/>
      <c r="D2255" s="76" t="s">
        <v>2944</v>
      </c>
      <c r="E2255" s="76" t="s">
        <v>54</v>
      </c>
      <c r="F2255" s="95"/>
      <c r="G2255" s="96">
        <v>471.14812000000001</v>
      </c>
      <c r="H2255" s="95"/>
      <c r="I2255" s="95"/>
      <c r="J2255" s="95"/>
      <c r="K2255" s="95"/>
      <c r="L2255" s="95"/>
      <c r="M2255" s="95"/>
      <c r="N2255" s="95"/>
      <c r="O2255" s="95"/>
      <c r="P2255" s="95"/>
    </row>
    <row r="2256" spans="1:76" s="81" customFormat="1" ht="25.5" x14ac:dyDescent="0.25">
      <c r="A2256" s="66" t="s">
        <v>2954</v>
      </c>
      <c r="B2256" s="72" t="s">
        <v>55</v>
      </c>
      <c r="C2256" s="72" t="s">
        <v>2946</v>
      </c>
      <c r="D2256" s="174" t="s">
        <v>2947</v>
      </c>
      <c r="E2256" s="174"/>
      <c r="F2256" s="72" t="s">
        <v>192</v>
      </c>
      <c r="G2256" s="90">
        <v>27.5</v>
      </c>
      <c r="H2256" s="91"/>
      <c r="I2256" s="92" t="s">
        <v>63</v>
      </c>
      <c r="J2256" s="90">
        <f>G2256*AO2256</f>
        <v>0</v>
      </c>
      <c r="K2256" s="90">
        <f>G2256*AP2256</f>
        <v>0</v>
      </c>
      <c r="L2256" s="90">
        <f>G2256*H2256</f>
        <v>0</v>
      </c>
      <c r="M2256" s="90">
        <f>L2256*(1+BW2256/100)</f>
        <v>0</v>
      </c>
      <c r="N2256" s="90">
        <v>9.8999999999999999E-4</v>
      </c>
      <c r="O2256" s="90">
        <f>G2256*N2256</f>
        <v>2.7224999999999999E-2</v>
      </c>
      <c r="P2256" s="92" t="s">
        <v>64</v>
      </c>
      <c r="Z2256" s="93">
        <f>IF(AQ2256="5",BJ2256,0)</f>
        <v>0</v>
      </c>
      <c r="AB2256" s="93">
        <f>IF(AQ2256="1",BH2256,0)</f>
        <v>0</v>
      </c>
      <c r="AC2256" s="93">
        <f>IF(AQ2256="1",BI2256,0)</f>
        <v>0</v>
      </c>
      <c r="AD2256" s="93">
        <f>IF(AQ2256="7",BH2256,0)</f>
        <v>0</v>
      </c>
      <c r="AE2256" s="93">
        <f>IF(AQ2256="7",BI2256,0)</f>
        <v>0</v>
      </c>
      <c r="AF2256" s="93">
        <f>IF(AQ2256="2",BH2256,0)</f>
        <v>0</v>
      </c>
      <c r="AG2256" s="93">
        <f>IF(AQ2256="2",BI2256,0)</f>
        <v>0</v>
      </c>
      <c r="AH2256" s="93">
        <f>IF(AQ2256="0",BJ2256,0)</f>
        <v>0</v>
      </c>
      <c r="AI2256" s="88" t="s">
        <v>55</v>
      </c>
      <c r="AJ2256" s="93">
        <f>IF(AN2256=0,L2256,0)</f>
        <v>0</v>
      </c>
      <c r="AK2256" s="93">
        <f>IF(AN2256=12,L2256,0)</f>
        <v>0</v>
      </c>
      <c r="AL2256" s="93">
        <f>IF(AN2256=21,L2256,0)</f>
        <v>0</v>
      </c>
      <c r="AN2256" s="93">
        <v>21</v>
      </c>
      <c r="AO2256" s="93">
        <f>H2256*0.085202872</f>
        <v>0</v>
      </c>
      <c r="AP2256" s="93">
        <f>H2256*(1-0.085202872)</f>
        <v>0</v>
      </c>
      <c r="AQ2256" s="94" t="s">
        <v>148</v>
      </c>
      <c r="AV2256" s="93">
        <f>AW2256+AX2256</f>
        <v>0</v>
      </c>
      <c r="AW2256" s="93">
        <f>G2256*AO2256</f>
        <v>0</v>
      </c>
      <c r="AX2256" s="93">
        <f>G2256*AP2256</f>
        <v>0</v>
      </c>
      <c r="AY2256" s="94" t="s">
        <v>2926</v>
      </c>
      <c r="AZ2256" s="94" t="s">
        <v>2927</v>
      </c>
      <c r="BA2256" s="88" t="s">
        <v>67</v>
      </c>
      <c r="BC2256" s="93">
        <f>AW2256+AX2256</f>
        <v>0</v>
      </c>
      <c r="BD2256" s="93">
        <f>H2256/(100-BE2256)*100</f>
        <v>0</v>
      </c>
      <c r="BE2256" s="93">
        <v>0</v>
      </c>
      <c r="BF2256" s="93">
        <f>O2256</f>
        <v>2.7224999999999999E-2</v>
      </c>
      <c r="BH2256" s="93">
        <f>G2256*AO2256</f>
        <v>0</v>
      </c>
      <c r="BI2256" s="93">
        <f>G2256*AP2256</f>
        <v>0</v>
      </c>
      <c r="BJ2256" s="93">
        <f>G2256*H2256</f>
        <v>0</v>
      </c>
      <c r="BK2256" s="93"/>
      <c r="BL2256" s="93"/>
      <c r="BW2256" s="93" t="str">
        <f>I2256</f>
        <v>21</v>
      </c>
      <c r="BX2256" s="2" t="s">
        <v>2947</v>
      </c>
    </row>
    <row r="2257" spans="1:76" s="81" customFormat="1" ht="25.5" x14ac:dyDescent="0.25">
      <c r="A2257" s="66" t="s">
        <v>2957</v>
      </c>
      <c r="B2257" s="72" t="s">
        <v>55</v>
      </c>
      <c r="C2257" s="72" t="s">
        <v>2949</v>
      </c>
      <c r="D2257" s="174" t="s">
        <v>2950</v>
      </c>
      <c r="E2257" s="174"/>
      <c r="F2257" s="72" t="s">
        <v>192</v>
      </c>
      <c r="G2257" s="90">
        <v>27.5</v>
      </c>
      <c r="H2257" s="91"/>
      <c r="I2257" s="92" t="s">
        <v>63</v>
      </c>
      <c r="J2257" s="90">
        <f>G2257*AO2257</f>
        <v>0</v>
      </c>
      <c r="K2257" s="90">
        <f>G2257*AP2257</f>
        <v>0</v>
      </c>
      <c r="L2257" s="90">
        <f>G2257*H2257</f>
        <v>0</v>
      </c>
      <c r="M2257" s="90">
        <f>L2257*(1+BW2257/100)</f>
        <v>0</v>
      </c>
      <c r="N2257" s="90">
        <v>0</v>
      </c>
      <c r="O2257" s="90">
        <f>G2257*N2257</f>
        <v>0</v>
      </c>
      <c r="P2257" s="92" t="s">
        <v>64</v>
      </c>
      <c r="Z2257" s="93">
        <f>IF(AQ2257="5",BJ2257,0)</f>
        <v>0</v>
      </c>
      <c r="AB2257" s="93">
        <f>IF(AQ2257="1",BH2257,0)</f>
        <v>0</v>
      </c>
      <c r="AC2257" s="93">
        <f>IF(AQ2257="1",BI2257,0)</f>
        <v>0</v>
      </c>
      <c r="AD2257" s="93">
        <f>IF(AQ2257="7",BH2257,0)</f>
        <v>0</v>
      </c>
      <c r="AE2257" s="93">
        <f>IF(AQ2257="7",BI2257,0)</f>
        <v>0</v>
      </c>
      <c r="AF2257" s="93">
        <f>IF(AQ2257="2",BH2257,0)</f>
        <v>0</v>
      </c>
      <c r="AG2257" s="93">
        <f>IF(AQ2257="2",BI2257,0)</f>
        <v>0</v>
      </c>
      <c r="AH2257" s="93">
        <f>IF(AQ2257="0",BJ2257,0)</f>
        <v>0</v>
      </c>
      <c r="AI2257" s="88" t="s">
        <v>55</v>
      </c>
      <c r="AJ2257" s="93">
        <f>IF(AN2257=0,L2257,0)</f>
        <v>0</v>
      </c>
      <c r="AK2257" s="93">
        <f>IF(AN2257=12,L2257,0)</f>
        <v>0</v>
      </c>
      <c r="AL2257" s="93">
        <f>IF(AN2257=21,L2257,0)</f>
        <v>0</v>
      </c>
      <c r="AN2257" s="93">
        <v>21</v>
      </c>
      <c r="AO2257" s="93">
        <f>H2257*0</f>
        <v>0</v>
      </c>
      <c r="AP2257" s="93">
        <f>H2257*(1-0)</f>
        <v>0</v>
      </c>
      <c r="AQ2257" s="94" t="s">
        <v>148</v>
      </c>
      <c r="AV2257" s="93">
        <f>AW2257+AX2257</f>
        <v>0</v>
      </c>
      <c r="AW2257" s="93">
        <f>G2257*AO2257</f>
        <v>0</v>
      </c>
      <c r="AX2257" s="93">
        <f>G2257*AP2257</f>
        <v>0</v>
      </c>
      <c r="AY2257" s="94" t="s">
        <v>2926</v>
      </c>
      <c r="AZ2257" s="94" t="s">
        <v>2927</v>
      </c>
      <c r="BA2257" s="88" t="s">
        <v>67</v>
      </c>
      <c r="BC2257" s="93">
        <f>AW2257+AX2257</f>
        <v>0</v>
      </c>
      <c r="BD2257" s="93">
        <f>H2257/(100-BE2257)*100</f>
        <v>0</v>
      </c>
      <c r="BE2257" s="93">
        <v>0</v>
      </c>
      <c r="BF2257" s="93">
        <f>O2257</f>
        <v>0</v>
      </c>
      <c r="BH2257" s="93">
        <f>G2257*AO2257</f>
        <v>0</v>
      </c>
      <c r="BI2257" s="93">
        <f>G2257*AP2257</f>
        <v>0</v>
      </c>
      <c r="BJ2257" s="93">
        <f>G2257*H2257</f>
        <v>0</v>
      </c>
      <c r="BK2257" s="93"/>
      <c r="BL2257" s="93"/>
      <c r="BW2257" s="93" t="str">
        <f>I2257</f>
        <v>21</v>
      </c>
      <c r="BX2257" s="2" t="s">
        <v>2950</v>
      </c>
    </row>
    <row r="2258" spans="1:76" s="81" customFormat="1" ht="25.5" x14ac:dyDescent="0.25">
      <c r="A2258" s="66" t="s">
        <v>2962</v>
      </c>
      <c r="B2258" s="72" t="s">
        <v>55</v>
      </c>
      <c r="C2258" s="72" t="s">
        <v>2952</v>
      </c>
      <c r="D2258" s="174" t="s">
        <v>2953</v>
      </c>
      <c r="E2258" s="174"/>
      <c r="F2258" s="72" t="s">
        <v>192</v>
      </c>
      <c r="G2258" s="90">
        <v>645</v>
      </c>
      <c r="H2258" s="91"/>
      <c r="I2258" s="92" t="s">
        <v>63</v>
      </c>
      <c r="J2258" s="90">
        <f>G2258*AO2258</f>
        <v>0</v>
      </c>
      <c r="K2258" s="90">
        <f>G2258*AP2258</f>
        <v>0</v>
      </c>
      <c r="L2258" s="90">
        <f>G2258*H2258</f>
        <v>0</v>
      </c>
      <c r="M2258" s="90">
        <f>L2258*(1+BW2258/100)</f>
        <v>0</v>
      </c>
      <c r="N2258" s="90">
        <v>8.5999999999999998E-4</v>
      </c>
      <c r="O2258" s="90">
        <f>G2258*N2258</f>
        <v>0.55469999999999997</v>
      </c>
      <c r="P2258" s="92" t="s">
        <v>64</v>
      </c>
      <c r="Z2258" s="93">
        <f>IF(AQ2258="5",BJ2258,0)</f>
        <v>0</v>
      </c>
      <c r="AB2258" s="93">
        <f>IF(AQ2258="1",BH2258,0)</f>
        <v>0</v>
      </c>
      <c r="AC2258" s="93">
        <f>IF(AQ2258="1",BI2258,0)</f>
        <v>0</v>
      </c>
      <c r="AD2258" s="93">
        <f>IF(AQ2258="7",BH2258,0)</f>
        <v>0</v>
      </c>
      <c r="AE2258" s="93">
        <f>IF(AQ2258="7",BI2258,0)</f>
        <v>0</v>
      </c>
      <c r="AF2258" s="93">
        <f>IF(AQ2258="2",BH2258,0)</f>
        <v>0</v>
      </c>
      <c r="AG2258" s="93">
        <f>IF(AQ2258="2",BI2258,0)</f>
        <v>0</v>
      </c>
      <c r="AH2258" s="93">
        <f>IF(AQ2258="0",BJ2258,0)</f>
        <v>0</v>
      </c>
      <c r="AI2258" s="88" t="s">
        <v>55</v>
      </c>
      <c r="AJ2258" s="93">
        <f>IF(AN2258=0,L2258,0)</f>
        <v>0</v>
      </c>
      <c r="AK2258" s="93">
        <f>IF(AN2258=12,L2258,0)</f>
        <v>0</v>
      </c>
      <c r="AL2258" s="93">
        <f>IF(AN2258=21,L2258,0)</f>
        <v>0</v>
      </c>
      <c r="AN2258" s="93">
        <v>21</v>
      </c>
      <c r="AO2258" s="93">
        <f>H2258*0.083527397</f>
        <v>0</v>
      </c>
      <c r="AP2258" s="93">
        <f>H2258*(1-0.083527397)</f>
        <v>0</v>
      </c>
      <c r="AQ2258" s="94" t="s">
        <v>148</v>
      </c>
      <c r="AV2258" s="93">
        <f>AW2258+AX2258</f>
        <v>0</v>
      </c>
      <c r="AW2258" s="93">
        <f>G2258*AO2258</f>
        <v>0</v>
      </c>
      <c r="AX2258" s="93">
        <f>G2258*AP2258</f>
        <v>0</v>
      </c>
      <c r="AY2258" s="94" t="s">
        <v>2926</v>
      </c>
      <c r="AZ2258" s="94" t="s">
        <v>2927</v>
      </c>
      <c r="BA2258" s="88" t="s">
        <v>67</v>
      </c>
      <c r="BC2258" s="93">
        <f>AW2258+AX2258</f>
        <v>0</v>
      </c>
      <c r="BD2258" s="93">
        <f>H2258/(100-BE2258)*100</f>
        <v>0</v>
      </c>
      <c r="BE2258" s="93">
        <v>0</v>
      </c>
      <c r="BF2258" s="93">
        <f>O2258</f>
        <v>0.55469999999999997</v>
      </c>
      <c r="BH2258" s="93">
        <f>G2258*AO2258</f>
        <v>0</v>
      </c>
      <c r="BI2258" s="93">
        <f>G2258*AP2258</f>
        <v>0</v>
      </c>
      <c r="BJ2258" s="93">
        <f>G2258*H2258</f>
        <v>0</v>
      </c>
      <c r="BK2258" s="93"/>
      <c r="BL2258" s="93"/>
      <c r="BW2258" s="93" t="str">
        <f>I2258</f>
        <v>21</v>
      </c>
      <c r="BX2258" s="2" t="s">
        <v>2953</v>
      </c>
    </row>
    <row r="2259" spans="1:76" s="81" customFormat="1" ht="25.5" x14ac:dyDescent="0.25">
      <c r="A2259" s="66" t="s">
        <v>2964</v>
      </c>
      <c r="B2259" s="72" t="s">
        <v>55</v>
      </c>
      <c r="C2259" s="72" t="s">
        <v>2955</v>
      </c>
      <c r="D2259" s="174" t="s">
        <v>2956</v>
      </c>
      <c r="E2259" s="174"/>
      <c r="F2259" s="72" t="s">
        <v>192</v>
      </c>
      <c r="G2259" s="90">
        <v>645</v>
      </c>
      <c r="H2259" s="91"/>
      <c r="I2259" s="92" t="s">
        <v>63</v>
      </c>
      <c r="J2259" s="90">
        <f>G2259*AO2259</f>
        <v>0</v>
      </c>
      <c r="K2259" s="90">
        <f>G2259*AP2259</f>
        <v>0</v>
      </c>
      <c r="L2259" s="90">
        <f>G2259*H2259</f>
        <v>0</v>
      </c>
      <c r="M2259" s="90">
        <f>L2259*(1+BW2259/100)</f>
        <v>0</v>
      </c>
      <c r="N2259" s="90">
        <v>0</v>
      </c>
      <c r="O2259" s="90">
        <f>G2259*N2259</f>
        <v>0</v>
      </c>
      <c r="P2259" s="92" t="s">
        <v>64</v>
      </c>
      <c r="Z2259" s="93">
        <f>IF(AQ2259="5",BJ2259,0)</f>
        <v>0</v>
      </c>
      <c r="AB2259" s="93">
        <f>IF(AQ2259="1",BH2259,0)</f>
        <v>0</v>
      </c>
      <c r="AC2259" s="93">
        <f>IF(AQ2259="1",BI2259,0)</f>
        <v>0</v>
      </c>
      <c r="AD2259" s="93">
        <f>IF(AQ2259="7",BH2259,0)</f>
        <v>0</v>
      </c>
      <c r="AE2259" s="93">
        <f>IF(AQ2259="7",BI2259,0)</f>
        <v>0</v>
      </c>
      <c r="AF2259" s="93">
        <f>IF(AQ2259="2",BH2259,0)</f>
        <v>0</v>
      </c>
      <c r="AG2259" s="93">
        <f>IF(AQ2259="2",BI2259,0)</f>
        <v>0</v>
      </c>
      <c r="AH2259" s="93">
        <f>IF(AQ2259="0",BJ2259,0)</f>
        <v>0</v>
      </c>
      <c r="AI2259" s="88" t="s">
        <v>55</v>
      </c>
      <c r="AJ2259" s="93">
        <f>IF(AN2259=0,L2259,0)</f>
        <v>0</v>
      </c>
      <c r="AK2259" s="93">
        <f>IF(AN2259=12,L2259,0)</f>
        <v>0</v>
      </c>
      <c r="AL2259" s="93">
        <f>IF(AN2259=21,L2259,0)</f>
        <v>0</v>
      </c>
      <c r="AN2259" s="93">
        <v>21</v>
      </c>
      <c r="AO2259" s="93">
        <f>H2259*0</f>
        <v>0</v>
      </c>
      <c r="AP2259" s="93">
        <f>H2259*(1-0)</f>
        <v>0</v>
      </c>
      <c r="AQ2259" s="94" t="s">
        <v>148</v>
      </c>
      <c r="AV2259" s="93">
        <f>AW2259+AX2259</f>
        <v>0</v>
      </c>
      <c r="AW2259" s="93">
        <f>G2259*AO2259</f>
        <v>0</v>
      </c>
      <c r="AX2259" s="93">
        <f>G2259*AP2259</f>
        <v>0</v>
      </c>
      <c r="AY2259" s="94" t="s">
        <v>2926</v>
      </c>
      <c r="AZ2259" s="94" t="s">
        <v>2927</v>
      </c>
      <c r="BA2259" s="88" t="s">
        <v>67</v>
      </c>
      <c r="BC2259" s="93">
        <f>AW2259+AX2259</f>
        <v>0</v>
      </c>
      <c r="BD2259" s="93">
        <f>H2259/(100-BE2259)*100</f>
        <v>0</v>
      </c>
      <c r="BE2259" s="93">
        <v>0</v>
      </c>
      <c r="BF2259" s="93">
        <f>O2259</f>
        <v>0</v>
      </c>
      <c r="BH2259" s="93">
        <f>G2259*AO2259</f>
        <v>0</v>
      </c>
      <c r="BI2259" s="93">
        <f>G2259*AP2259</f>
        <v>0</v>
      </c>
      <c r="BJ2259" s="93">
        <f>G2259*H2259</f>
        <v>0</v>
      </c>
      <c r="BK2259" s="93"/>
      <c r="BL2259" s="93"/>
      <c r="BW2259" s="93" t="str">
        <f>I2259</f>
        <v>21</v>
      </c>
      <c r="BX2259" s="2" t="s">
        <v>2956</v>
      </c>
    </row>
    <row r="2260" spans="1:76" s="81" customFormat="1" ht="25.5" x14ac:dyDescent="0.25">
      <c r="A2260" s="66" t="s">
        <v>2966</v>
      </c>
      <c r="B2260" s="72" t="s">
        <v>55</v>
      </c>
      <c r="C2260" s="72" t="s">
        <v>2958</v>
      </c>
      <c r="D2260" s="174" t="s">
        <v>2959</v>
      </c>
      <c r="E2260" s="174"/>
      <c r="F2260" s="72" t="s">
        <v>62</v>
      </c>
      <c r="G2260" s="90">
        <v>2237.35725</v>
      </c>
      <c r="H2260" s="91"/>
      <c r="I2260" s="92" t="s">
        <v>63</v>
      </c>
      <c r="J2260" s="90">
        <f>G2260*AO2260</f>
        <v>0</v>
      </c>
      <c r="K2260" s="90">
        <f>G2260*AP2260</f>
        <v>0</v>
      </c>
      <c r="L2260" s="90">
        <f>G2260*H2260</f>
        <v>0</v>
      </c>
      <c r="M2260" s="90">
        <f>L2260*(1+BW2260/100)</f>
        <v>0</v>
      </c>
      <c r="N2260" s="90">
        <v>0</v>
      </c>
      <c r="O2260" s="90">
        <f>G2260*N2260</f>
        <v>0</v>
      </c>
      <c r="P2260" s="92" t="s">
        <v>64</v>
      </c>
      <c r="Z2260" s="93">
        <f>IF(AQ2260="5",BJ2260,0)</f>
        <v>0</v>
      </c>
      <c r="AB2260" s="93">
        <f>IF(AQ2260="1",BH2260,0)</f>
        <v>0</v>
      </c>
      <c r="AC2260" s="93">
        <f>IF(AQ2260="1",BI2260,0)</f>
        <v>0</v>
      </c>
      <c r="AD2260" s="93">
        <f>IF(AQ2260="7",BH2260,0)</f>
        <v>0</v>
      </c>
      <c r="AE2260" s="93">
        <f>IF(AQ2260="7",BI2260,0)</f>
        <v>0</v>
      </c>
      <c r="AF2260" s="93">
        <f>IF(AQ2260="2",BH2260,0)</f>
        <v>0</v>
      </c>
      <c r="AG2260" s="93">
        <f>IF(AQ2260="2",BI2260,0)</f>
        <v>0</v>
      </c>
      <c r="AH2260" s="93">
        <f>IF(AQ2260="0",BJ2260,0)</f>
        <v>0</v>
      </c>
      <c r="AI2260" s="88" t="s">
        <v>55</v>
      </c>
      <c r="AJ2260" s="93">
        <f>IF(AN2260=0,L2260,0)</f>
        <v>0</v>
      </c>
      <c r="AK2260" s="93">
        <f>IF(AN2260=12,L2260,0)</f>
        <v>0</v>
      </c>
      <c r="AL2260" s="93">
        <f>IF(AN2260=21,L2260,0)</f>
        <v>0</v>
      </c>
      <c r="AN2260" s="93">
        <v>21</v>
      </c>
      <c r="AO2260" s="93">
        <f>H2260*0</f>
        <v>0</v>
      </c>
      <c r="AP2260" s="93">
        <f>H2260*(1-0)</f>
        <v>0</v>
      </c>
      <c r="AQ2260" s="94" t="s">
        <v>148</v>
      </c>
      <c r="AV2260" s="93">
        <f>AW2260+AX2260</f>
        <v>0</v>
      </c>
      <c r="AW2260" s="93">
        <f>G2260*AO2260</f>
        <v>0</v>
      </c>
      <c r="AX2260" s="93">
        <f>G2260*AP2260</f>
        <v>0</v>
      </c>
      <c r="AY2260" s="94" t="s">
        <v>2926</v>
      </c>
      <c r="AZ2260" s="94" t="s">
        <v>2927</v>
      </c>
      <c r="BA2260" s="88" t="s">
        <v>67</v>
      </c>
      <c r="BC2260" s="93">
        <f>AW2260+AX2260</f>
        <v>0</v>
      </c>
      <c r="BD2260" s="93">
        <f>H2260/(100-BE2260)*100</f>
        <v>0</v>
      </c>
      <c r="BE2260" s="93">
        <v>0</v>
      </c>
      <c r="BF2260" s="93">
        <f>O2260</f>
        <v>0</v>
      </c>
      <c r="BH2260" s="93">
        <f>G2260*AO2260</f>
        <v>0</v>
      </c>
      <c r="BI2260" s="93">
        <f>G2260*AP2260</f>
        <v>0</v>
      </c>
      <c r="BJ2260" s="93">
        <f>G2260*H2260</f>
        <v>0</v>
      </c>
      <c r="BK2260" s="93"/>
      <c r="BL2260" s="93"/>
      <c r="BW2260" s="93" t="str">
        <f>I2260</f>
        <v>21</v>
      </c>
      <c r="BX2260" s="2" t="s">
        <v>2959</v>
      </c>
    </row>
    <row r="2261" spans="1:76" s="81" customFormat="1" x14ac:dyDescent="0.25">
      <c r="A2261" s="110"/>
      <c r="B2261" s="95"/>
      <c r="C2261" s="95"/>
      <c r="D2261" s="76" t="s">
        <v>2960</v>
      </c>
      <c r="E2261" s="76" t="s">
        <v>2961</v>
      </c>
      <c r="F2261" s="95"/>
      <c r="G2261" s="96">
        <v>2237.35725</v>
      </c>
      <c r="H2261" s="95"/>
      <c r="I2261" s="95"/>
      <c r="J2261" s="95"/>
      <c r="K2261" s="95"/>
      <c r="L2261" s="95"/>
      <c r="M2261" s="95"/>
      <c r="N2261" s="95"/>
      <c r="O2261" s="95"/>
      <c r="P2261" s="95"/>
    </row>
    <row r="2262" spans="1:76" s="81" customFormat="1" ht="25.5" x14ac:dyDescent="0.25">
      <c r="A2262" s="66" t="s">
        <v>2968</v>
      </c>
      <c r="B2262" s="72" t="s">
        <v>55</v>
      </c>
      <c r="C2262" s="72" t="s">
        <v>145</v>
      </c>
      <c r="D2262" s="174" t="s">
        <v>146</v>
      </c>
      <c r="E2262" s="174"/>
      <c r="F2262" s="72" t="s">
        <v>62</v>
      </c>
      <c r="G2262" s="90">
        <v>322.15724999999998</v>
      </c>
      <c r="H2262" s="91"/>
      <c r="I2262" s="92" t="s">
        <v>63</v>
      </c>
      <c r="J2262" s="90">
        <f>G2262*AO2262</f>
        <v>0</v>
      </c>
      <c r="K2262" s="90">
        <f>G2262*AP2262</f>
        <v>0</v>
      </c>
      <c r="L2262" s="90">
        <f>G2262*H2262</f>
        <v>0</v>
      </c>
      <c r="M2262" s="90">
        <f>L2262*(1+BW2262/100)</f>
        <v>0</v>
      </c>
      <c r="N2262" s="90">
        <v>0</v>
      </c>
      <c r="O2262" s="90">
        <f>G2262*N2262</f>
        <v>0</v>
      </c>
      <c r="P2262" s="92" t="s">
        <v>64</v>
      </c>
      <c r="Z2262" s="93">
        <f>IF(AQ2262="5",BJ2262,0)</f>
        <v>0</v>
      </c>
      <c r="AB2262" s="93">
        <f>IF(AQ2262="1",BH2262,0)</f>
        <v>0</v>
      </c>
      <c r="AC2262" s="93">
        <f>IF(AQ2262="1",BI2262,0)</f>
        <v>0</v>
      </c>
      <c r="AD2262" s="93">
        <f>IF(AQ2262="7",BH2262,0)</f>
        <v>0</v>
      </c>
      <c r="AE2262" s="93">
        <f>IF(AQ2262="7",BI2262,0)</f>
        <v>0</v>
      </c>
      <c r="AF2262" s="93">
        <f>IF(AQ2262="2",BH2262,0)</f>
        <v>0</v>
      </c>
      <c r="AG2262" s="93">
        <f>IF(AQ2262="2",BI2262,0)</f>
        <v>0</v>
      </c>
      <c r="AH2262" s="93">
        <f>IF(AQ2262="0",BJ2262,0)</f>
        <v>0</v>
      </c>
      <c r="AI2262" s="88" t="s">
        <v>55</v>
      </c>
      <c r="AJ2262" s="93">
        <f>IF(AN2262=0,L2262,0)</f>
        <v>0</v>
      </c>
      <c r="AK2262" s="93">
        <f>IF(AN2262=12,L2262,0)</f>
        <v>0</v>
      </c>
      <c r="AL2262" s="93">
        <f>IF(AN2262=21,L2262,0)</f>
        <v>0</v>
      </c>
      <c r="AN2262" s="93">
        <v>21</v>
      </c>
      <c r="AO2262" s="93">
        <f>H2262*0</f>
        <v>0</v>
      </c>
      <c r="AP2262" s="93">
        <f>H2262*(1-0)</f>
        <v>0</v>
      </c>
      <c r="AQ2262" s="94" t="s">
        <v>148</v>
      </c>
      <c r="AV2262" s="93">
        <f>AW2262+AX2262</f>
        <v>0</v>
      </c>
      <c r="AW2262" s="93">
        <f>G2262*AO2262</f>
        <v>0</v>
      </c>
      <c r="AX2262" s="93">
        <f>G2262*AP2262</f>
        <v>0</v>
      </c>
      <c r="AY2262" s="94" t="s">
        <v>2926</v>
      </c>
      <c r="AZ2262" s="94" t="s">
        <v>2927</v>
      </c>
      <c r="BA2262" s="88" t="s">
        <v>67</v>
      </c>
      <c r="BC2262" s="93">
        <f>AW2262+AX2262</f>
        <v>0</v>
      </c>
      <c r="BD2262" s="93">
        <f>H2262/(100-BE2262)*100</f>
        <v>0</v>
      </c>
      <c r="BE2262" s="93">
        <v>0</v>
      </c>
      <c r="BF2262" s="93">
        <f>O2262</f>
        <v>0</v>
      </c>
      <c r="BH2262" s="93">
        <f>G2262*AO2262</f>
        <v>0</v>
      </c>
      <c r="BI2262" s="93">
        <f>G2262*AP2262</f>
        <v>0</v>
      </c>
      <c r="BJ2262" s="93">
        <f>G2262*H2262</f>
        <v>0</v>
      </c>
      <c r="BK2262" s="93"/>
      <c r="BL2262" s="93"/>
      <c r="BW2262" s="93" t="str">
        <f>I2262</f>
        <v>21</v>
      </c>
      <c r="BX2262" s="2" t="s">
        <v>146</v>
      </c>
    </row>
    <row r="2263" spans="1:76" s="81" customFormat="1" x14ac:dyDescent="0.25">
      <c r="A2263" s="110"/>
      <c r="B2263" s="95"/>
      <c r="C2263" s="95"/>
      <c r="D2263" s="76" t="s">
        <v>2963</v>
      </c>
      <c r="E2263" s="76" t="s">
        <v>54</v>
      </c>
      <c r="F2263" s="95"/>
      <c r="G2263" s="96">
        <v>322.15724999999998</v>
      </c>
      <c r="H2263" s="95"/>
      <c r="I2263" s="95"/>
      <c r="J2263" s="95"/>
      <c r="K2263" s="95"/>
      <c r="L2263" s="95"/>
      <c r="M2263" s="95"/>
      <c r="N2263" s="95"/>
      <c r="O2263" s="95"/>
      <c r="P2263" s="95"/>
    </row>
    <row r="2264" spans="1:76" s="81" customFormat="1" ht="25.5" x14ac:dyDescent="0.25">
      <c r="A2264" s="66" t="s">
        <v>2973</v>
      </c>
      <c r="B2264" s="72" t="s">
        <v>55</v>
      </c>
      <c r="C2264" s="72" t="s">
        <v>149</v>
      </c>
      <c r="D2264" s="174" t="s">
        <v>150</v>
      </c>
      <c r="E2264" s="174"/>
      <c r="F2264" s="72" t="s">
        <v>62</v>
      </c>
      <c r="G2264" s="90">
        <v>3221.5725000000002</v>
      </c>
      <c r="H2264" s="91"/>
      <c r="I2264" s="92" t="s">
        <v>63</v>
      </c>
      <c r="J2264" s="90">
        <f>G2264*AO2264</f>
        <v>0</v>
      </c>
      <c r="K2264" s="90">
        <f>G2264*AP2264</f>
        <v>0</v>
      </c>
      <c r="L2264" s="90">
        <f>G2264*H2264</f>
        <v>0</v>
      </c>
      <c r="M2264" s="90">
        <f>L2264*(1+BW2264/100)</f>
        <v>0</v>
      </c>
      <c r="N2264" s="90">
        <v>0</v>
      </c>
      <c r="O2264" s="90">
        <f>G2264*N2264</f>
        <v>0</v>
      </c>
      <c r="P2264" s="92" t="s">
        <v>64</v>
      </c>
      <c r="Z2264" s="93">
        <f>IF(AQ2264="5",BJ2264,0)</f>
        <v>0</v>
      </c>
      <c r="AB2264" s="93">
        <f>IF(AQ2264="1",BH2264,0)</f>
        <v>0</v>
      </c>
      <c r="AC2264" s="93">
        <f>IF(AQ2264="1",BI2264,0)</f>
        <v>0</v>
      </c>
      <c r="AD2264" s="93">
        <f>IF(AQ2264="7",BH2264,0)</f>
        <v>0</v>
      </c>
      <c r="AE2264" s="93">
        <f>IF(AQ2264="7",BI2264,0)</f>
        <v>0</v>
      </c>
      <c r="AF2264" s="93">
        <f>IF(AQ2264="2",BH2264,0)</f>
        <v>0</v>
      </c>
      <c r="AG2264" s="93">
        <f>IF(AQ2264="2",BI2264,0)</f>
        <v>0</v>
      </c>
      <c r="AH2264" s="93">
        <f>IF(AQ2264="0",BJ2264,0)</f>
        <v>0</v>
      </c>
      <c r="AI2264" s="88" t="s">
        <v>55</v>
      </c>
      <c r="AJ2264" s="93">
        <f>IF(AN2264=0,L2264,0)</f>
        <v>0</v>
      </c>
      <c r="AK2264" s="93">
        <f>IF(AN2264=12,L2264,0)</f>
        <v>0</v>
      </c>
      <c r="AL2264" s="93">
        <f>IF(AN2264=21,L2264,0)</f>
        <v>0</v>
      </c>
      <c r="AN2264" s="93">
        <v>21</v>
      </c>
      <c r="AO2264" s="93">
        <f>H2264*0</f>
        <v>0</v>
      </c>
      <c r="AP2264" s="93">
        <f>H2264*(1-0)</f>
        <v>0</v>
      </c>
      <c r="AQ2264" s="94" t="s">
        <v>148</v>
      </c>
      <c r="AV2264" s="93">
        <f>AW2264+AX2264</f>
        <v>0</v>
      </c>
      <c r="AW2264" s="93">
        <f>G2264*AO2264</f>
        <v>0</v>
      </c>
      <c r="AX2264" s="93">
        <f>G2264*AP2264</f>
        <v>0</v>
      </c>
      <c r="AY2264" s="94" t="s">
        <v>2926</v>
      </c>
      <c r="AZ2264" s="94" t="s">
        <v>2927</v>
      </c>
      <c r="BA2264" s="88" t="s">
        <v>67</v>
      </c>
      <c r="BC2264" s="93">
        <f>AW2264+AX2264</f>
        <v>0</v>
      </c>
      <c r="BD2264" s="93">
        <f>H2264/(100-BE2264)*100</f>
        <v>0</v>
      </c>
      <c r="BE2264" s="93">
        <v>0</v>
      </c>
      <c r="BF2264" s="93">
        <f>O2264</f>
        <v>0</v>
      </c>
      <c r="BH2264" s="93">
        <f>G2264*AO2264</f>
        <v>0</v>
      </c>
      <c r="BI2264" s="93">
        <f>G2264*AP2264</f>
        <v>0</v>
      </c>
      <c r="BJ2264" s="93">
        <f>G2264*H2264</f>
        <v>0</v>
      </c>
      <c r="BK2264" s="93"/>
      <c r="BL2264" s="93"/>
      <c r="BW2264" s="93" t="str">
        <f>I2264</f>
        <v>21</v>
      </c>
      <c r="BX2264" s="2" t="s">
        <v>150</v>
      </c>
    </row>
    <row r="2265" spans="1:76" s="81" customFormat="1" x14ac:dyDescent="0.25">
      <c r="A2265" s="110"/>
      <c r="B2265" s="95"/>
      <c r="C2265" s="95"/>
      <c r="D2265" s="76" t="s">
        <v>2965</v>
      </c>
      <c r="E2265" s="76" t="s">
        <v>54</v>
      </c>
      <c r="F2265" s="95"/>
      <c r="G2265" s="96">
        <v>3221.5725000000002</v>
      </c>
      <c r="H2265" s="95"/>
      <c r="I2265" s="95"/>
      <c r="J2265" s="95"/>
      <c r="K2265" s="95"/>
      <c r="L2265" s="95"/>
      <c r="M2265" s="95"/>
      <c r="N2265" s="95"/>
      <c r="O2265" s="95"/>
      <c r="P2265" s="95"/>
    </row>
    <row r="2266" spans="1:76" s="81" customFormat="1" ht="25.5" x14ac:dyDescent="0.25">
      <c r="A2266" s="66" t="s">
        <v>2980</v>
      </c>
      <c r="B2266" s="72" t="s">
        <v>55</v>
      </c>
      <c r="C2266" s="72" t="s">
        <v>153</v>
      </c>
      <c r="D2266" s="174" t="s">
        <v>154</v>
      </c>
      <c r="E2266" s="174"/>
      <c r="F2266" s="72" t="s">
        <v>62</v>
      </c>
      <c r="G2266" s="90">
        <v>322.15724999999998</v>
      </c>
      <c r="H2266" s="91"/>
      <c r="I2266" s="92" t="s">
        <v>63</v>
      </c>
      <c r="J2266" s="90">
        <f>G2266*AO2266</f>
        <v>0</v>
      </c>
      <c r="K2266" s="90">
        <f>G2266*AP2266</f>
        <v>0</v>
      </c>
      <c r="L2266" s="90">
        <f>G2266*H2266</f>
        <v>0</v>
      </c>
      <c r="M2266" s="90">
        <f>L2266*(1+BW2266/100)</f>
        <v>0</v>
      </c>
      <c r="N2266" s="90">
        <v>0</v>
      </c>
      <c r="O2266" s="90">
        <f>G2266*N2266</f>
        <v>0</v>
      </c>
      <c r="P2266" s="92" t="s">
        <v>64</v>
      </c>
      <c r="Z2266" s="93">
        <f>IF(AQ2266="5",BJ2266,0)</f>
        <v>0</v>
      </c>
      <c r="AB2266" s="93">
        <f>IF(AQ2266="1",BH2266,0)</f>
        <v>0</v>
      </c>
      <c r="AC2266" s="93">
        <f>IF(AQ2266="1",BI2266,0)</f>
        <v>0</v>
      </c>
      <c r="AD2266" s="93">
        <f>IF(AQ2266="7",BH2266,0)</f>
        <v>0</v>
      </c>
      <c r="AE2266" s="93">
        <f>IF(AQ2266="7",BI2266,0)</f>
        <v>0</v>
      </c>
      <c r="AF2266" s="93">
        <f>IF(AQ2266="2",BH2266,0)</f>
        <v>0</v>
      </c>
      <c r="AG2266" s="93">
        <f>IF(AQ2266="2",BI2266,0)</f>
        <v>0</v>
      </c>
      <c r="AH2266" s="93">
        <f>IF(AQ2266="0",BJ2266,0)</f>
        <v>0</v>
      </c>
      <c r="AI2266" s="88" t="s">
        <v>55</v>
      </c>
      <c r="AJ2266" s="93">
        <f>IF(AN2266=0,L2266,0)</f>
        <v>0</v>
      </c>
      <c r="AK2266" s="93">
        <f>IF(AN2266=12,L2266,0)</f>
        <v>0</v>
      </c>
      <c r="AL2266" s="93">
        <f>IF(AN2266=21,L2266,0)</f>
        <v>0</v>
      </c>
      <c r="AN2266" s="93">
        <v>21</v>
      </c>
      <c r="AO2266" s="93">
        <f>H2266*0</f>
        <v>0</v>
      </c>
      <c r="AP2266" s="93">
        <f>H2266*(1-0)</f>
        <v>0</v>
      </c>
      <c r="AQ2266" s="94" t="s">
        <v>148</v>
      </c>
      <c r="AV2266" s="93">
        <f>AW2266+AX2266</f>
        <v>0</v>
      </c>
      <c r="AW2266" s="93">
        <f>G2266*AO2266</f>
        <v>0</v>
      </c>
      <c r="AX2266" s="93">
        <f>G2266*AP2266</f>
        <v>0</v>
      </c>
      <c r="AY2266" s="94" t="s">
        <v>2926</v>
      </c>
      <c r="AZ2266" s="94" t="s">
        <v>2927</v>
      </c>
      <c r="BA2266" s="88" t="s">
        <v>67</v>
      </c>
      <c r="BC2266" s="93">
        <f>AW2266+AX2266</f>
        <v>0</v>
      </c>
      <c r="BD2266" s="93">
        <f>H2266/(100-BE2266)*100</f>
        <v>0</v>
      </c>
      <c r="BE2266" s="93">
        <v>0</v>
      </c>
      <c r="BF2266" s="93">
        <f>O2266</f>
        <v>0</v>
      </c>
      <c r="BH2266" s="93">
        <f>G2266*AO2266</f>
        <v>0</v>
      </c>
      <c r="BI2266" s="93">
        <f>G2266*AP2266</f>
        <v>0</v>
      </c>
      <c r="BJ2266" s="93">
        <f>G2266*H2266</f>
        <v>0</v>
      </c>
      <c r="BK2266" s="93"/>
      <c r="BL2266" s="93"/>
      <c r="BW2266" s="93" t="str">
        <f>I2266</f>
        <v>21</v>
      </c>
      <c r="BX2266" s="2" t="s">
        <v>154</v>
      </c>
    </row>
    <row r="2267" spans="1:76" s="81" customFormat="1" x14ac:dyDescent="0.25">
      <c r="A2267" s="110"/>
      <c r="B2267" s="95"/>
      <c r="C2267" s="95"/>
      <c r="D2267" s="76" t="s">
        <v>2967</v>
      </c>
      <c r="E2267" s="76" t="s">
        <v>54</v>
      </c>
      <c r="F2267" s="95"/>
      <c r="G2267" s="96">
        <v>322.15724999999998</v>
      </c>
      <c r="H2267" s="95"/>
      <c r="I2267" s="95"/>
      <c r="J2267" s="95"/>
      <c r="K2267" s="95"/>
      <c r="L2267" s="95"/>
      <c r="M2267" s="95"/>
      <c r="N2267" s="95"/>
      <c r="O2267" s="95"/>
      <c r="P2267" s="95"/>
    </row>
    <row r="2268" spans="1:76" s="81" customFormat="1" ht="25.5" x14ac:dyDescent="0.25">
      <c r="A2268" s="66" t="s">
        <v>2985</v>
      </c>
      <c r="B2268" s="72" t="s">
        <v>55</v>
      </c>
      <c r="C2268" s="72" t="s">
        <v>156</v>
      </c>
      <c r="D2268" s="174" t="s">
        <v>2969</v>
      </c>
      <c r="E2268" s="174"/>
      <c r="F2268" s="72" t="s">
        <v>62</v>
      </c>
      <c r="G2268" s="90">
        <v>1279.7572500000001</v>
      </c>
      <c r="H2268" s="91"/>
      <c r="I2268" s="92" t="s">
        <v>63</v>
      </c>
      <c r="J2268" s="90">
        <f>G2268*AO2268</f>
        <v>0</v>
      </c>
      <c r="K2268" s="90">
        <f>G2268*AP2268</f>
        <v>0</v>
      </c>
      <c r="L2268" s="90">
        <f>G2268*H2268</f>
        <v>0</v>
      </c>
      <c r="M2268" s="90">
        <f>L2268*(1+BW2268/100)</f>
        <v>0</v>
      </c>
      <c r="N2268" s="90">
        <v>0</v>
      </c>
      <c r="O2268" s="90">
        <f>G2268*N2268</f>
        <v>0</v>
      </c>
      <c r="P2268" s="92" t="s">
        <v>64</v>
      </c>
      <c r="Z2268" s="93">
        <f>IF(AQ2268="5",BJ2268,0)</f>
        <v>0</v>
      </c>
      <c r="AB2268" s="93">
        <f>IF(AQ2268="1",BH2268,0)</f>
        <v>0</v>
      </c>
      <c r="AC2268" s="93">
        <f>IF(AQ2268="1",BI2268,0)</f>
        <v>0</v>
      </c>
      <c r="AD2268" s="93">
        <f>IF(AQ2268="7",BH2268,0)</f>
        <v>0</v>
      </c>
      <c r="AE2268" s="93">
        <f>IF(AQ2268="7",BI2268,0)</f>
        <v>0</v>
      </c>
      <c r="AF2268" s="93">
        <f>IF(AQ2268="2",BH2268,0)</f>
        <v>0</v>
      </c>
      <c r="AG2268" s="93">
        <f>IF(AQ2268="2",BI2268,0)</f>
        <v>0</v>
      </c>
      <c r="AH2268" s="93">
        <f>IF(AQ2268="0",BJ2268,0)</f>
        <v>0</v>
      </c>
      <c r="AI2268" s="88" t="s">
        <v>55</v>
      </c>
      <c r="AJ2268" s="93">
        <f>IF(AN2268=0,L2268,0)</f>
        <v>0</v>
      </c>
      <c r="AK2268" s="93">
        <f>IF(AN2268=12,L2268,0)</f>
        <v>0</v>
      </c>
      <c r="AL2268" s="93">
        <f>IF(AN2268=21,L2268,0)</f>
        <v>0</v>
      </c>
      <c r="AN2268" s="93">
        <v>21</v>
      </c>
      <c r="AO2268" s="93">
        <f>H2268*0</f>
        <v>0</v>
      </c>
      <c r="AP2268" s="93">
        <f>H2268*(1-0)</f>
        <v>0</v>
      </c>
      <c r="AQ2268" s="94" t="s">
        <v>148</v>
      </c>
      <c r="AV2268" s="93">
        <f>AW2268+AX2268</f>
        <v>0</v>
      </c>
      <c r="AW2268" s="93">
        <f>G2268*AO2268</f>
        <v>0</v>
      </c>
      <c r="AX2268" s="93">
        <f>G2268*AP2268</f>
        <v>0</v>
      </c>
      <c r="AY2268" s="94" t="s">
        <v>2926</v>
      </c>
      <c r="AZ2268" s="94" t="s">
        <v>2927</v>
      </c>
      <c r="BA2268" s="88" t="s">
        <v>67</v>
      </c>
      <c r="BC2268" s="93">
        <f>AW2268+AX2268</f>
        <v>0</v>
      </c>
      <c r="BD2268" s="93">
        <f>H2268/(100-BE2268)*100</f>
        <v>0</v>
      </c>
      <c r="BE2268" s="93">
        <v>0</v>
      </c>
      <c r="BF2268" s="93">
        <f>O2268</f>
        <v>0</v>
      </c>
      <c r="BH2268" s="93">
        <f>G2268*AO2268</f>
        <v>0</v>
      </c>
      <c r="BI2268" s="93">
        <f>G2268*AP2268</f>
        <v>0</v>
      </c>
      <c r="BJ2268" s="93">
        <f>G2268*H2268</f>
        <v>0</v>
      </c>
      <c r="BK2268" s="93"/>
      <c r="BL2268" s="93"/>
      <c r="BW2268" s="93" t="str">
        <f>I2268</f>
        <v>21</v>
      </c>
      <c r="BX2268" s="2" t="s">
        <v>2969</v>
      </c>
    </row>
    <row r="2269" spans="1:76" s="81" customFormat="1" x14ac:dyDescent="0.25">
      <c r="A2269" s="110"/>
      <c r="B2269" s="95"/>
      <c r="C2269" s="95"/>
      <c r="D2269" s="76" t="s">
        <v>2967</v>
      </c>
      <c r="E2269" s="76" t="s">
        <v>2970</v>
      </c>
      <c r="F2269" s="95"/>
      <c r="G2269" s="96">
        <v>322.15724999999998</v>
      </c>
      <c r="H2269" s="95"/>
      <c r="I2269" s="95"/>
      <c r="J2269" s="95"/>
      <c r="K2269" s="95"/>
      <c r="L2269" s="95"/>
      <c r="M2269" s="95"/>
      <c r="N2269" s="95"/>
      <c r="O2269" s="95"/>
      <c r="P2269" s="95"/>
    </row>
    <row r="2270" spans="1:76" s="81" customFormat="1" x14ac:dyDescent="0.25">
      <c r="A2270" s="110"/>
      <c r="B2270" s="95"/>
      <c r="C2270" s="95"/>
      <c r="D2270" s="76" t="s">
        <v>2971</v>
      </c>
      <c r="E2270" s="76" t="s">
        <v>2972</v>
      </c>
      <c r="F2270" s="95"/>
      <c r="G2270" s="96">
        <v>957.6</v>
      </c>
      <c r="H2270" s="95"/>
      <c r="I2270" s="95"/>
      <c r="J2270" s="95"/>
      <c r="K2270" s="95"/>
      <c r="L2270" s="95"/>
      <c r="M2270" s="95"/>
      <c r="N2270" s="95"/>
      <c r="O2270" s="95"/>
      <c r="P2270" s="95"/>
    </row>
    <row r="2271" spans="1:76" s="81" customFormat="1" ht="25.5" x14ac:dyDescent="0.25">
      <c r="A2271" s="66" t="s">
        <v>2988</v>
      </c>
      <c r="B2271" s="72" t="s">
        <v>55</v>
      </c>
      <c r="C2271" s="72" t="s">
        <v>163</v>
      </c>
      <c r="D2271" s="174" t="s">
        <v>164</v>
      </c>
      <c r="E2271" s="174"/>
      <c r="F2271" s="72" t="s">
        <v>62</v>
      </c>
      <c r="G2271" s="90">
        <v>957.6</v>
      </c>
      <c r="H2271" s="91"/>
      <c r="I2271" s="92" t="s">
        <v>63</v>
      </c>
      <c r="J2271" s="90">
        <f>G2271*AO2271</f>
        <v>0</v>
      </c>
      <c r="K2271" s="90">
        <f>G2271*AP2271</f>
        <v>0</v>
      </c>
      <c r="L2271" s="90">
        <f>G2271*H2271</f>
        <v>0</v>
      </c>
      <c r="M2271" s="90">
        <f>L2271*(1+BW2271/100)</f>
        <v>0</v>
      </c>
      <c r="N2271" s="90">
        <v>0</v>
      </c>
      <c r="O2271" s="90">
        <f>G2271*N2271</f>
        <v>0</v>
      </c>
      <c r="P2271" s="92" t="s">
        <v>64</v>
      </c>
      <c r="Z2271" s="93">
        <f>IF(AQ2271="5",BJ2271,0)</f>
        <v>0</v>
      </c>
      <c r="AB2271" s="93">
        <f>IF(AQ2271="1",BH2271,0)</f>
        <v>0</v>
      </c>
      <c r="AC2271" s="93">
        <f>IF(AQ2271="1",BI2271,0)</f>
        <v>0</v>
      </c>
      <c r="AD2271" s="93">
        <f>IF(AQ2271="7",BH2271,0)</f>
        <v>0</v>
      </c>
      <c r="AE2271" s="93">
        <f>IF(AQ2271="7",BI2271,0)</f>
        <v>0</v>
      </c>
      <c r="AF2271" s="93">
        <f>IF(AQ2271="2",BH2271,0)</f>
        <v>0</v>
      </c>
      <c r="AG2271" s="93">
        <f>IF(AQ2271="2",BI2271,0)</f>
        <v>0</v>
      </c>
      <c r="AH2271" s="93">
        <f>IF(AQ2271="0",BJ2271,0)</f>
        <v>0</v>
      </c>
      <c r="AI2271" s="88" t="s">
        <v>55</v>
      </c>
      <c r="AJ2271" s="93">
        <f>IF(AN2271=0,L2271,0)</f>
        <v>0</v>
      </c>
      <c r="AK2271" s="93">
        <f>IF(AN2271=12,L2271,0)</f>
        <v>0</v>
      </c>
      <c r="AL2271" s="93">
        <f>IF(AN2271=21,L2271,0)</f>
        <v>0</v>
      </c>
      <c r="AN2271" s="93">
        <v>21</v>
      </c>
      <c r="AO2271" s="93">
        <f>H2271*0</f>
        <v>0</v>
      </c>
      <c r="AP2271" s="93">
        <f>H2271*(1-0)</f>
        <v>0</v>
      </c>
      <c r="AQ2271" s="94" t="s">
        <v>148</v>
      </c>
      <c r="AV2271" s="93">
        <f>AW2271+AX2271</f>
        <v>0</v>
      </c>
      <c r="AW2271" s="93">
        <f>G2271*AO2271</f>
        <v>0</v>
      </c>
      <c r="AX2271" s="93">
        <f>G2271*AP2271</f>
        <v>0</v>
      </c>
      <c r="AY2271" s="94" t="s">
        <v>2926</v>
      </c>
      <c r="AZ2271" s="94" t="s">
        <v>2927</v>
      </c>
      <c r="BA2271" s="88" t="s">
        <v>67</v>
      </c>
      <c r="BC2271" s="93">
        <f>AW2271+AX2271</f>
        <v>0</v>
      </c>
      <c r="BD2271" s="93">
        <f>H2271/(100-BE2271)*100</f>
        <v>0</v>
      </c>
      <c r="BE2271" s="93">
        <v>0</v>
      </c>
      <c r="BF2271" s="93">
        <f>O2271</f>
        <v>0</v>
      </c>
      <c r="BH2271" s="93">
        <f>G2271*AO2271</f>
        <v>0</v>
      </c>
      <c r="BI2271" s="93">
        <f>G2271*AP2271</f>
        <v>0</v>
      </c>
      <c r="BJ2271" s="93">
        <f>G2271*H2271</f>
        <v>0</v>
      </c>
      <c r="BK2271" s="93"/>
      <c r="BL2271" s="93"/>
      <c r="BW2271" s="93" t="str">
        <f>I2271</f>
        <v>21</v>
      </c>
      <c r="BX2271" s="2" t="s">
        <v>164</v>
      </c>
    </row>
    <row r="2272" spans="1:76" s="81" customFormat="1" x14ac:dyDescent="0.25">
      <c r="A2272" s="110"/>
      <c r="B2272" s="95"/>
      <c r="C2272" s="95"/>
      <c r="D2272" s="76" t="s">
        <v>54</v>
      </c>
      <c r="E2272" s="76" t="s">
        <v>2974</v>
      </c>
      <c r="F2272" s="95"/>
      <c r="G2272" s="96">
        <v>0</v>
      </c>
      <c r="H2272" s="95"/>
      <c r="I2272" s="95"/>
      <c r="J2272" s="95"/>
      <c r="K2272" s="95"/>
      <c r="L2272" s="95"/>
      <c r="M2272" s="95"/>
      <c r="N2272" s="95"/>
      <c r="O2272" s="95"/>
      <c r="P2272" s="95"/>
    </row>
    <row r="2273" spans="1:76" s="81" customFormat="1" x14ac:dyDescent="0.25">
      <c r="A2273" s="110"/>
      <c r="B2273" s="95"/>
      <c r="C2273" s="95"/>
      <c r="D2273" s="76" t="s">
        <v>2975</v>
      </c>
      <c r="E2273" s="76" t="s">
        <v>54</v>
      </c>
      <c r="F2273" s="95"/>
      <c r="G2273" s="96">
        <v>143.1</v>
      </c>
      <c r="H2273" s="95"/>
      <c r="I2273" s="95"/>
      <c r="J2273" s="95"/>
      <c r="K2273" s="95"/>
      <c r="L2273" s="95"/>
      <c r="M2273" s="95"/>
      <c r="N2273" s="95"/>
      <c r="O2273" s="95"/>
      <c r="P2273" s="95"/>
    </row>
    <row r="2274" spans="1:76" s="81" customFormat="1" x14ac:dyDescent="0.25">
      <c r="A2274" s="110"/>
      <c r="B2274" s="95"/>
      <c r="C2274" s="95"/>
      <c r="D2274" s="76" t="s">
        <v>54</v>
      </c>
      <c r="E2274" s="76" t="s">
        <v>2976</v>
      </c>
      <c r="F2274" s="95"/>
      <c r="G2274" s="96">
        <v>0</v>
      </c>
      <c r="H2274" s="95"/>
      <c r="I2274" s="95"/>
      <c r="J2274" s="95"/>
      <c r="K2274" s="95"/>
      <c r="L2274" s="95"/>
      <c r="M2274" s="95"/>
      <c r="N2274" s="95"/>
      <c r="O2274" s="95"/>
      <c r="P2274" s="95"/>
    </row>
    <row r="2275" spans="1:76" s="81" customFormat="1" x14ac:dyDescent="0.25">
      <c r="A2275" s="110"/>
      <c r="B2275" s="95"/>
      <c r="C2275" s="95"/>
      <c r="D2275" s="76" t="s">
        <v>2977</v>
      </c>
      <c r="E2275" s="76" t="s">
        <v>54</v>
      </c>
      <c r="F2275" s="95"/>
      <c r="G2275" s="96">
        <v>77.599999999999994</v>
      </c>
      <c r="H2275" s="95"/>
      <c r="I2275" s="95"/>
      <c r="J2275" s="95"/>
      <c r="K2275" s="95"/>
      <c r="L2275" s="95"/>
      <c r="M2275" s="95"/>
      <c r="N2275" s="95"/>
      <c r="O2275" s="95"/>
      <c r="P2275" s="95"/>
    </row>
    <row r="2276" spans="1:76" s="81" customFormat="1" x14ac:dyDescent="0.25">
      <c r="A2276" s="110"/>
      <c r="B2276" s="95"/>
      <c r="C2276" s="95"/>
      <c r="D2276" s="76" t="s">
        <v>54</v>
      </c>
      <c r="E2276" s="76" t="s">
        <v>2938</v>
      </c>
      <c r="F2276" s="95"/>
      <c r="G2276" s="96">
        <v>0</v>
      </c>
      <c r="H2276" s="95"/>
      <c r="I2276" s="95"/>
      <c r="J2276" s="95"/>
      <c r="K2276" s="95"/>
      <c r="L2276" s="95"/>
      <c r="M2276" s="95"/>
      <c r="N2276" s="95"/>
      <c r="O2276" s="95"/>
      <c r="P2276" s="95"/>
    </row>
    <row r="2277" spans="1:76" s="81" customFormat="1" x14ac:dyDescent="0.25">
      <c r="A2277" s="110"/>
      <c r="B2277" s="95"/>
      <c r="C2277" s="95"/>
      <c r="D2277" s="76" t="s">
        <v>2978</v>
      </c>
      <c r="E2277" s="76" t="s">
        <v>54</v>
      </c>
      <c r="F2277" s="95"/>
      <c r="G2277" s="96">
        <v>61.8</v>
      </c>
      <c r="H2277" s="95"/>
      <c r="I2277" s="95"/>
      <c r="J2277" s="95"/>
      <c r="K2277" s="95"/>
      <c r="L2277" s="95"/>
      <c r="M2277" s="95"/>
      <c r="N2277" s="95"/>
      <c r="O2277" s="95"/>
      <c r="P2277" s="95"/>
    </row>
    <row r="2278" spans="1:76" s="81" customFormat="1" x14ac:dyDescent="0.25">
      <c r="A2278" s="110"/>
      <c r="B2278" s="95"/>
      <c r="C2278" s="95"/>
      <c r="D2278" s="76" t="s">
        <v>54</v>
      </c>
      <c r="E2278" s="76" t="s">
        <v>2940</v>
      </c>
      <c r="F2278" s="95"/>
      <c r="G2278" s="96">
        <v>0</v>
      </c>
      <c r="H2278" s="95"/>
      <c r="I2278" s="95"/>
      <c r="J2278" s="95"/>
      <c r="K2278" s="95"/>
      <c r="L2278" s="95"/>
      <c r="M2278" s="95"/>
      <c r="N2278" s="95"/>
      <c r="O2278" s="95"/>
      <c r="P2278" s="95"/>
    </row>
    <row r="2279" spans="1:76" s="81" customFormat="1" x14ac:dyDescent="0.25">
      <c r="A2279" s="110"/>
      <c r="B2279" s="95"/>
      <c r="C2279" s="95"/>
      <c r="D2279" s="76" t="s">
        <v>2979</v>
      </c>
      <c r="E2279" s="76" t="s">
        <v>54</v>
      </c>
      <c r="F2279" s="95"/>
      <c r="G2279" s="96">
        <v>675.1</v>
      </c>
      <c r="H2279" s="95"/>
      <c r="I2279" s="95"/>
      <c r="J2279" s="95"/>
      <c r="K2279" s="95"/>
      <c r="L2279" s="95"/>
      <c r="M2279" s="95"/>
      <c r="N2279" s="95"/>
      <c r="O2279" s="95"/>
      <c r="P2279" s="95"/>
    </row>
    <row r="2280" spans="1:76" s="81" customFormat="1" ht="25.5" x14ac:dyDescent="0.25">
      <c r="A2280" s="66" t="s">
        <v>2992</v>
      </c>
      <c r="B2280" s="72" t="s">
        <v>55</v>
      </c>
      <c r="C2280" s="72" t="s">
        <v>2981</v>
      </c>
      <c r="D2280" s="174" t="s">
        <v>2982</v>
      </c>
      <c r="E2280" s="174"/>
      <c r="F2280" s="72" t="s">
        <v>62</v>
      </c>
      <c r="G2280" s="90">
        <v>136.30000000000001</v>
      </c>
      <c r="H2280" s="91"/>
      <c r="I2280" s="92" t="s">
        <v>63</v>
      </c>
      <c r="J2280" s="90">
        <f>G2280*AO2280</f>
        <v>0</v>
      </c>
      <c r="K2280" s="90">
        <f>G2280*AP2280</f>
        <v>0</v>
      </c>
      <c r="L2280" s="90">
        <f>G2280*H2280</f>
        <v>0</v>
      </c>
      <c r="M2280" s="90">
        <f>L2280*(1+BW2280/100)</f>
        <v>0</v>
      </c>
      <c r="N2280" s="90">
        <v>1.67</v>
      </c>
      <c r="O2280" s="90">
        <f>G2280*N2280</f>
        <v>227.62100000000001</v>
      </c>
      <c r="P2280" s="92" t="s">
        <v>64</v>
      </c>
      <c r="Z2280" s="93">
        <f>IF(AQ2280="5",BJ2280,0)</f>
        <v>0</v>
      </c>
      <c r="AB2280" s="93">
        <f>IF(AQ2280="1",BH2280,0)</f>
        <v>0</v>
      </c>
      <c r="AC2280" s="93">
        <f>IF(AQ2280="1",BI2280,0)</f>
        <v>0</v>
      </c>
      <c r="AD2280" s="93">
        <f>IF(AQ2280="7",BH2280,0)</f>
        <v>0</v>
      </c>
      <c r="AE2280" s="93">
        <f>IF(AQ2280="7",BI2280,0)</f>
        <v>0</v>
      </c>
      <c r="AF2280" s="93">
        <f>IF(AQ2280="2",BH2280,0)</f>
        <v>0</v>
      </c>
      <c r="AG2280" s="93">
        <f>IF(AQ2280="2",BI2280,0)</f>
        <v>0</v>
      </c>
      <c r="AH2280" s="93">
        <f>IF(AQ2280="0",BJ2280,0)</f>
        <v>0</v>
      </c>
      <c r="AI2280" s="88" t="s">
        <v>55</v>
      </c>
      <c r="AJ2280" s="93">
        <f>IF(AN2280=0,L2280,0)</f>
        <v>0</v>
      </c>
      <c r="AK2280" s="93">
        <f>IF(AN2280=12,L2280,0)</f>
        <v>0</v>
      </c>
      <c r="AL2280" s="93">
        <f>IF(AN2280=21,L2280,0)</f>
        <v>0</v>
      </c>
      <c r="AN2280" s="93">
        <v>21</v>
      </c>
      <c r="AO2280" s="93">
        <f>H2280*0.309007113</f>
        <v>0</v>
      </c>
      <c r="AP2280" s="93">
        <f>H2280*(1-0.309007113)</f>
        <v>0</v>
      </c>
      <c r="AQ2280" s="94" t="s">
        <v>148</v>
      </c>
      <c r="AV2280" s="93">
        <f>AW2280+AX2280</f>
        <v>0</v>
      </c>
      <c r="AW2280" s="93">
        <f>G2280*AO2280</f>
        <v>0</v>
      </c>
      <c r="AX2280" s="93">
        <f>G2280*AP2280</f>
        <v>0</v>
      </c>
      <c r="AY2280" s="94" t="s">
        <v>2926</v>
      </c>
      <c r="AZ2280" s="94" t="s">
        <v>2927</v>
      </c>
      <c r="BA2280" s="88" t="s">
        <v>67</v>
      </c>
      <c r="BC2280" s="93">
        <f>AW2280+AX2280</f>
        <v>0</v>
      </c>
      <c r="BD2280" s="93">
        <f>H2280/(100-BE2280)*100</f>
        <v>0</v>
      </c>
      <c r="BE2280" s="93">
        <v>0</v>
      </c>
      <c r="BF2280" s="93">
        <f>O2280</f>
        <v>227.62100000000001</v>
      </c>
      <c r="BH2280" s="93">
        <f>G2280*AO2280</f>
        <v>0</v>
      </c>
      <c r="BI2280" s="93">
        <f>G2280*AP2280</f>
        <v>0</v>
      </c>
      <c r="BJ2280" s="93">
        <f>G2280*H2280</f>
        <v>0</v>
      </c>
      <c r="BK2280" s="93"/>
      <c r="BL2280" s="93"/>
      <c r="BW2280" s="93" t="str">
        <f>I2280</f>
        <v>21</v>
      </c>
      <c r="BX2280" s="2" t="s">
        <v>2982</v>
      </c>
    </row>
    <row r="2281" spans="1:76" s="81" customFormat="1" x14ac:dyDescent="0.25">
      <c r="A2281" s="110"/>
      <c r="B2281" s="95"/>
      <c r="C2281" s="95"/>
      <c r="D2281" s="76" t="s">
        <v>54</v>
      </c>
      <c r="E2281" s="76" t="s">
        <v>2938</v>
      </c>
      <c r="F2281" s="95"/>
      <c r="G2281" s="96">
        <v>0</v>
      </c>
      <c r="H2281" s="95"/>
      <c r="I2281" s="95"/>
      <c r="J2281" s="95"/>
      <c r="K2281" s="95"/>
      <c r="L2281" s="95"/>
      <c r="M2281" s="95"/>
      <c r="N2281" s="95"/>
      <c r="O2281" s="95"/>
      <c r="P2281" s="95"/>
    </row>
    <row r="2282" spans="1:76" s="81" customFormat="1" x14ac:dyDescent="0.25">
      <c r="A2282" s="110"/>
      <c r="B2282" s="95"/>
      <c r="C2282" s="95"/>
      <c r="D2282" s="76" t="s">
        <v>2983</v>
      </c>
      <c r="E2282" s="76" t="s">
        <v>54</v>
      </c>
      <c r="F2282" s="95"/>
      <c r="G2282" s="96">
        <v>28.7</v>
      </c>
      <c r="H2282" s="95"/>
      <c r="I2282" s="95"/>
      <c r="J2282" s="95"/>
      <c r="K2282" s="95"/>
      <c r="L2282" s="95"/>
      <c r="M2282" s="95"/>
      <c r="N2282" s="95"/>
      <c r="O2282" s="95"/>
      <c r="P2282" s="95"/>
    </row>
    <row r="2283" spans="1:76" s="81" customFormat="1" x14ac:dyDescent="0.25">
      <c r="A2283" s="110"/>
      <c r="B2283" s="95"/>
      <c r="C2283" s="95"/>
      <c r="D2283" s="76" t="s">
        <v>54</v>
      </c>
      <c r="E2283" s="76" t="s">
        <v>2940</v>
      </c>
      <c r="F2283" s="95"/>
      <c r="G2283" s="96">
        <v>0</v>
      </c>
      <c r="H2283" s="95"/>
      <c r="I2283" s="95"/>
      <c r="J2283" s="95"/>
      <c r="K2283" s="95"/>
      <c r="L2283" s="95"/>
      <c r="M2283" s="95"/>
      <c r="N2283" s="95"/>
      <c r="O2283" s="95"/>
      <c r="P2283" s="95"/>
    </row>
    <row r="2284" spans="1:76" s="81" customFormat="1" x14ac:dyDescent="0.25">
      <c r="A2284" s="110"/>
      <c r="B2284" s="95"/>
      <c r="C2284" s="95"/>
      <c r="D2284" s="76" t="s">
        <v>2984</v>
      </c>
      <c r="E2284" s="76" t="s">
        <v>54</v>
      </c>
      <c r="F2284" s="95"/>
      <c r="G2284" s="96">
        <v>107.6</v>
      </c>
      <c r="H2284" s="95"/>
      <c r="I2284" s="95"/>
      <c r="J2284" s="95"/>
      <c r="K2284" s="95"/>
      <c r="L2284" s="95"/>
      <c r="M2284" s="95"/>
      <c r="N2284" s="95"/>
      <c r="O2284" s="95"/>
      <c r="P2284" s="95"/>
    </row>
    <row r="2285" spans="1:76" s="81" customFormat="1" ht="25.5" x14ac:dyDescent="0.25">
      <c r="A2285" s="66" t="s">
        <v>2996</v>
      </c>
      <c r="B2285" s="72" t="s">
        <v>55</v>
      </c>
      <c r="C2285" s="72" t="s">
        <v>2986</v>
      </c>
      <c r="D2285" s="174" t="s">
        <v>2987</v>
      </c>
      <c r="E2285" s="174"/>
      <c r="F2285" s="72" t="s">
        <v>62</v>
      </c>
      <c r="G2285" s="90">
        <v>957.6</v>
      </c>
      <c r="H2285" s="91"/>
      <c r="I2285" s="92" t="s">
        <v>63</v>
      </c>
      <c r="J2285" s="90">
        <f>G2285*AO2285</f>
        <v>0</v>
      </c>
      <c r="K2285" s="90">
        <f>G2285*AP2285</f>
        <v>0</v>
      </c>
      <c r="L2285" s="90">
        <f>G2285*H2285</f>
        <v>0</v>
      </c>
      <c r="M2285" s="90">
        <f>L2285*(1+BW2285/100)</f>
        <v>0</v>
      </c>
      <c r="N2285" s="90">
        <v>0</v>
      </c>
      <c r="O2285" s="90">
        <f>G2285*N2285</f>
        <v>0</v>
      </c>
      <c r="P2285" s="92" t="s">
        <v>64</v>
      </c>
      <c r="Z2285" s="93">
        <f>IF(AQ2285="5",BJ2285,0)</f>
        <v>0</v>
      </c>
      <c r="AB2285" s="93">
        <f>IF(AQ2285="1",BH2285,0)</f>
        <v>0</v>
      </c>
      <c r="AC2285" s="93">
        <f>IF(AQ2285="1",BI2285,0)</f>
        <v>0</v>
      </c>
      <c r="AD2285" s="93">
        <f>IF(AQ2285="7",BH2285,0)</f>
        <v>0</v>
      </c>
      <c r="AE2285" s="93">
        <f>IF(AQ2285="7",BI2285,0)</f>
        <v>0</v>
      </c>
      <c r="AF2285" s="93">
        <f>IF(AQ2285="2",BH2285,0)</f>
        <v>0</v>
      </c>
      <c r="AG2285" s="93">
        <f>IF(AQ2285="2",BI2285,0)</f>
        <v>0</v>
      </c>
      <c r="AH2285" s="93">
        <f>IF(AQ2285="0",BJ2285,0)</f>
        <v>0</v>
      </c>
      <c r="AI2285" s="88" t="s">
        <v>55</v>
      </c>
      <c r="AJ2285" s="93">
        <f>IF(AN2285=0,L2285,0)</f>
        <v>0</v>
      </c>
      <c r="AK2285" s="93">
        <f>IF(AN2285=12,L2285,0)</f>
        <v>0</v>
      </c>
      <c r="AL2285" s="93">
        <f>IF(AN2285=21,L2285,0)</f>
        <v>0</v>
      </c>
      <c r="AN2285" s="93">
        <v>21</v>
      </c>
      <c r="AO2285" s="93">
        <f>H2285*0</f>
        <v>0</v>
      </c>
      <c r="AP2285" s="93">
        <f>H2285*(1-0)</f>
        <v>0</v>
      </c>
      <c r="AQ2285" s="94" t="s">
        <v>148</v>
      </c>
      <c r="AV2285" s="93">
        <f>AW2285+AX2285</f>
        <v>0</v>
      </c>
      <c r="AW2285" s="93">
        <f>G2285*AO2285</f>
        <v>0</v>
      </c>
      <c r="AX2285" s="93">
        <f>G2285*AP2285</f>
        <v>0</v>
      </c>
      <c r="AY2285" s="94" t="s">
        <v>2926</v>
      </c>
      <c r="AZ2285" s="94" t="s">
        <v>2927</v>
      </c>
      <c r="BA2285" s="88" t="s">
        <v>67</v>
      </c>
      <c r="BC2285" s="93">
        <f>AW2285+AX2285</f>
        <v>0</v>
      </c>
      <c r="BD2285" s="93">
        <f>H2285/(100-BE2285)*100</f>
        <v>0</v>
      </c>
      <c r="BE2285" s="93">
        <v>0</v>
      </c>
      <c r="BF2285" s="93">
        <f>O2285</f>
        <v>0</v>
      </c>
      <c r="BH2285" s="93">
        <f>G2285*AO2285</f>
        <v>0</v>
      </c>
      <c r="BI2285" s="93">
        <f>G2285*AP2285</f>
        <v>0</v>
      </c>
      <c r="BJ2285" s="93">
        <f>G2285*H2285</f>
        <v>0</v>
      </c>
      <c r="BK2285" s="93"/>
      <c r="BL2285" s="93"/>
      <c r="BW2285" s="93" t="str">
        <f>I2285</f>
        <v>21</v>
      </c>
      <c r="BX2285" s="2" t="s">
        <v>2987</v>
      </c>
    </row>
    <row r="2286" spans="1:76" s="81" customFormat="1" ht="25.5" x14ac:dyDescent="0.25">
      <c r="A2286" s="66" t="s">
        <v>3000</v>
      </c>
      <c r="B2286" s="72" t="s">
        <v>55</v>
      </c>
      <c r="C2286" s="72" t="s">
        <v>2989</v>
      </c>
      <c r="D2286" s="174" t="s">
        <v>2990</v>
      </c>
      <c r="E2286" s="174"/>
      <c r="F2286" s="72" t="s">
        <v>192</v>
      </c>
      <c r="G2286" s="90">
        <v>94.6</v>
      </c>
      <c r="H2286" s="91"/>
      <c r="I2286" s="92" t="s">
        <v>63</v>
      </c>
      <c r="J2286" s="90">
        <f>G2286*AO2286</f>
        <v>0</v>
      </c>
      <c r="K2286" s="90">
        <f>G2286*AP2286</f>
        <v>0</v>
      </c>
      <c r="L2286" s="90">
        <f>G2286*H2286</f>
        <v>0</v>
      </c>
      <c r="M2286" s="90">
        <f>L2286*(1+BW2286/100)</f>
        <v>0</v>
      </c>
      <c r="N2286" s="90">
        <v>3.0000000000000001E-5</v>
      </c>
      <c r="O2286" s="90">
        <f>G2286*N2286</f>
        <v>2.8379999999999998E-3</v>
      </c>
      <c r="P2286" s="92" t="s">
        <v>64</v>
      </c>
      <c r="Z2286" s="93">
        <f>IF(AQ2286="5",BJ2286,0)</f>
        <v>0</v>
      </c>
      <c r="AB2286" s="93">
        <f>IF(AQ2286="1",BH2286,0)</f>
        <v>0</v>
      </c>
      <c r="AC2286" s="93">
        <f>IF(AQ2286="1",BI2286,0)</f>
        <v>0</v>
      </c>
      <c r="AD2286" s="93">
        <f>IF(AQ2286="7",BH2286,0)</f>
        <v>0</v>
      </c>
      <c r="AE2286" s="93">
        <f>IF(AQ2286="7",BI2286,0)</f>
        <v>0</v>
      </c>
      <c r="AF2286" s="93">
        <f>IF(AQ2286="2",BH2286,0)</f>
        <v>0</v>
      </c>
      <c r="AG2286" s="93">
        <f>IF(AQ2286="2",BI2286,0)</f>
        <v>0</v>
      </c>
      <c r="AH2286" s="93">
        <f>IF(AQ2286="0",BJ2286,0)</f>
        <v>0</v>
      </c>
      <c r="AI2286" s="88" t="s">
        <v>55</v>
      </c>
      <c r="AJ2286" s="93">
        <f>IF(AN2286=0,L2286,0)</f>
        <v>0</v>
      </c>
      <c r="AK2286" s="93">
        <f>IF(AN2286=12,L2286,0)</f>
        <v>0</v>
      </c>
      <c r="AL2286" s="93">
        <f>IF(AN2286=21,L2286,0)</f>
        <v>0</v>
      </c>
      <c r="AN2286" s="93">
        <v>21</v>
      </c>
      <c r="AO2286" s="93">
        <f>H2286*0.053326011</f>
        <v>0</v>
      </c>
      <c r="AP2286" s="93">
        <f>H2286*(1-0.053326011)</f>
        <v>0</v>
      </c>
      <c r="AQ2286" s="94" t="s">
        <v>148</v>
      </c>
      <c r="AV2286" s="93">
        <f>AW2286+AX2286</f>
        <v>0</v>
      </c>
      <c r="AW2286" s="93">
        <f>G2286*AO2286</f>
        <v>0</v>
      </c>
      <c r="AX2286" s="93">
        <f>G2286*AP2286</f>
        <v>0</v>
      </c>
      <c r="AY2286" s="94" t="s">
        <v>2926</v>
      </c>
      <c r="AZ2286" s="94" t="s">
        <v>2927</v>
      </c>
      <c r="BA2286" s="88" t="s">
        <v>67</v>
      </c>
      <c r="BC2286" s="93">
        <f>AW2286+AX2286</f>
        <v>0</v>
      </c>
      <c r="BD2286" s="93">
        <f>H2286/(100-BE2286)*100</f>
        <v>0</v>
      </c>
      <c r="BE2286" s="93">
        <v>0</v>
      </c>
      <c r="BF2286" s="93">
        <f>O2286</f>
        <v>2.8379999999999998E-3</v>
      </c>
      <c r="BH2286" s="93">
        <f>G2286*AO2286</f>
        <v>0</v>
      </c>
      <c r="BI2286" s="93">
        <f>G2286*AP2286</f>
        <v>0</v>
      </c>
      <c r="BJ2286" s="93">
        <f>G2286*H2286</f>
        <v>0</v>
      </c>
      <c r="BK2286" s="93"/>
      <c r="BL2286" s="93"/>
      <c r="BW2286" s="93" t="str">
        <f>I2286</f>
        <v>21</v>
      </c>
      <c r="BX2286" s="2" t="s">
        <v>2990</v>
      </c>
    </row>
    <row r="2287" spans="1:76" s="81" customFormat="1" ht="13.5" customHeight="1" x14ac:dyDescent="0.25">
      <c r="A2287" s="110"/>
      <c r="B2287" s="95"/>
      <c r="C2287" s="95"/>
      <c r="D2287" s="179" t="s">
        <v>2991</v>
      </c>
      <c r="E2287" s="179"/>
      <c r="F2287" s="179"/>
      <c r="G2287" s="179"/>
      <c r="H2287" s="179"/>
      <c r="I2287" s="179"/>
      <c r="J2287" s="179"/>
      <c r="K2287" s="179"/>
      <c r="L2287" s="179"/>
      <c r="M2287" s="179"/>
      <c r="N2287" s="179"/>
      <c r="O2287" s="179"/>
      <c r="P2287" s="179"/>
    </row>
    <row r="2288" spans="1:76" s="81" customFormat="1" ht="25.5" x14ac:dyDescent="0.25">
      <c r="A2288" s="66" t="s">
        <v>3005</v>
      </c>
      <c r="B2288" s="72" t="s">
        <v>55</v>
      </c>
      <c r="C2288" s="72" t="s">
        <v>2993</v>
      </c>
      <c r="D2288" s="174" t="s">
        <v>2994</v>
      </c>
      <c r="E2288" s="174"/>
      <c r="F2288" s="72" t="s">
        <v>192</v>
      </c>
      <c r="G2288" s="90">
        <v>243.22499999999999</v>
      </c>
      <c r="H2288" s="91"/>
      <c r="I2288" s="92" t="s">
        <v>63</v>
      </c>
      <c r="J2288" s="90">
        <f>G2288*AO2288</f>
        <v>0</v>
      </c>
      <c r="K2288" s="90">
        <f>G2288*AP2288</f>
        <v>0</v>
      </c>
      <c r="L2288" s="90">
        <f>G2288*H2288</f>
        <v>0</v>
      </c>
      <c r="M2288" s="90">
        <f>L2288*(1+BW2288/100)</f>
        <v>0</v>
      </c>
      <c r="N2288" s="90">
        <v>1.8000000000000001E-4</v>
      </c>
      <c r="O2288" s="90">
        <f>G2288*N2288</f>
        <v>4.37805E-2</v>
      </c>
      <c r="P2288" s="92" t="s">
        <v>64</v>
      </c>
      <c r="Z2288" s="93">
        <f>IF(AQ2288="5",BJ2288,0)</f>
        <v>0</v>
      </c>
      <c r="AB2288" s="93">
        <f>IF(AQ2288="1",BH2288,0)</f>
        <v>0</v>
      </c>
      <c r="AC2288" s="93">
        <f>IF(AQ2288="1",BI2288,0)</f>
        <v>0</v>
      </c>
      <c r="AD2288" s="93">
        <f>IF(AQ2288="7",BH2288,0)</f>
        <v>0</v>
      </c>
      <c r="AE2288" s="93">
        <f>IF(AQ2288="7",BI2288,0)</f>
        <v>0</v>
      </c>
      <c r="AF2288" s="93">
        <f>IF(AQ2288="2",BH2288,0)</f>
        <v>0</v>
      </c>
      <c r="AG2288" s="93">
        <f>IF(AQ2288="2",BI2288,0)</f>
        <v>0</v>
      </c>
      <c r="AH2288" s="93">
        <f>IF(AQ2288="0",BJ2288,0)</f>
        <v>0</v>
      </c>
      <c r="AI2288" s="88" t="s">
        <v>55</v>
      </c>
      <c r="AJ2288" s="93">
        <f>IF(AN2288=0,L2288,0)</f>
        <v>0</v>
      </c>
      <c r="AK2288" s="93">
        <f>IF(AN2288=12,L2288,0)</f>
        <v>0</v>
      </c>
      <c r="AL2288" s="93">
        <f>IF(AN2288=21,L2288,0)</f>
        <v>0</v>
      </c>
      <c r="AN2288" s="93">
        <v>21</v>
      </c>
      <c r="AO2288" s="93">
        <f>H2288*0.092624378</f>
        <v>0</v>
      </c>
      <c r="AP2288" s="93">
        <f>H2288*(1-0.092624378)</f>
        <v>0</v>
      </c>
      <c r="AQ2288" s="94" t="s">
        <v>148</v>
      </c>
      <c r="AV2288" s="93">
        <f>AW2288+AX2288</f>
        <v>0</v>
      </c>
      <c r="AW2288" s="93">
        <f>G2288*AO2288</f>
        <v>0</v>
      </c>
      <c r="AX2288" s="93">
        <f>G2288*AP2288</f>
        <v>0</v>
      </c>
      <c r="AY2288" s="94" t="s">
        <v>2926</v>
      </c>
      <c r="AZ2288" s="94" t="s">
        <v>2927</v>
      </c>
      <c r="BA2288" s="88" t="s">
        <v>67</v>
      </c>
      <c r="BC2288" s="93">
        <f>AW2288+AX2288</f>
        <v>0</v>
      </c>
      <c r="BD2288" s="93">
        <f>H2288/(100-BE2288)*100</f>
        <v>0</v>
      </c>
      <c r="BE2288" s="93">
        <v>0</v>
      </c>
      <c r="BF2288" s="93">
        <f>O2288</f>
        <v>4.37805E-2</v>
      </c>
      <c r="BH2288" s="93">
        <f>G2288*AO2288</f>
        <v>0</v>
      </c>
      <c r="BI2288" s="93">
        <f>G2288*AP2288</f>
        <v>0</v>
      </c>
      <c r="BJ2288" s="93">
        <f>G2288*H2288</f>
        <v>0</v>
      </c>
      <c r="BK2288" s="93"/>
      <c r="BL2288" s="93"/>
      <c r="BW2288" s="93" t="str">
        <f>I2288</f>
        <v>21</v>
      </c>
      <c r="BX2288" s="2" t="s">
        <v>2994</v>
      </c>
    </row>
    <row r="2289" spans="1:76" s="81" customFormat="1" x14ac:dyDescent="0.25">
      <c r="A2289" s="110"/>
      <c r="B2289" s="95"/>
      <c r="C2289" s="95"/>
      <c r="D2289" s="76" t="s">
        <v>2995</v>
      </c>
      <c r="E2289" s="76" t="s">
        <v>54</v>
      </c>
      <c r="F2289" s="95"/>
      <c r="G2289" s="96">
        <v>243.22499999999999</v>
      </c>
      <c r="H2289" s="95"/>
      <c r="I2289" s="95"/>
      <c r="J2289" s="95"/>
      <c r="K2289" s="95"/>
      <c r="L2289" s="95"/>
      <c r="M2289" s="95"/>
      <c r="N2289" s="95"/>
      <c r="O2289" s="95"/>
      <c r="P2289" s="95"/>
    </row>
    <row r="2290" spans="1:76" s="81" customFormat="1" ht="25.5" x14ac:dyDescent="0.25">
      <c r="A2290" s="66" t="s">
        <v>3010</v>
      </c>
      <c r="B2290" s="72" t="s">
        <v>55</v>
      </c>
      <c r="C2290" s="72" t="s">
        <v>2997</v>
      </c>
      <c r="D2290" s="174" t="s">
        <v>2998</v>
      </c>
      <c r="E2290" s="174"/>
      <c r="F2290" s="72" t="s">
        <v>62</v>
      </c>
      <c r="G2290" s="90">
        <v>45</v>
      </c>
      <c r="H2290" s="91"/>
      <c r="I2290" s="92" t="s">
        <v>63</v>
      </c>
      <c r="J2290" s="90">
        <f>G2290*AO2290</f>
        <v>0</v>
      </c>
      <c r="K2290" s="90">
        <f>G2290*AP2290</f>
        <v>0</v>
      </c>
      <c r="L2290" s="90">
        <f>G2290*H2290</f>
        <v>0</v>
      </c>
      <c r="M2290" s="90">
        <f>L2290*(1+BW2290/100)</f>
        <v>0</v>
      </c>
      <c r="N2290" s="90">
        <v>1.63</v>
      </c>
      <c r="O2290" s="90">
        <f>G2290*N2290</f>
        <v>73.349999999999994</v>
      </c>
      <c r="P2290" s="92" t="s">
        <v>64</v>
      </c>
      <c r="Z2290" s="93">
        <f>IF(AQ2290="5",BJ2290,0)</f>
        <v>0</v>
      </c>
      <c r="AB2290" s="93">
        <f>IF(AQ2290="1",BH2290,0)</f>
        <v>0</v>
      </c>
      <c r="AC2290" s="93">
        <f>IF(AQ2290="1",BI2290,0)</f>
        <v>0</v>
      </c>
      <c r="AD2290" s="93">
        <f>IF(AQ2290="7",BH2290,0)</f>
        <v>0</v>
      </c>
      <c r="AE2290" s="93">
        <f>IF(AQ2290="7",BI2290,0)</f>
        <v>0</v>
      </c>
      <c r="AF2290" s="93">
        <f>IF(AQ2290="2",BH2290,0)</f>
        <v>0</v>
      </c>
      <c r="AG2290" s="93">
        <f>IF(AQ2290="2",BI2290,0)</f>
        <v>0</v>
      </c>
      <c r="AH2290" s="93">
        <f>IF(AQ2290="0",BJ2290,0)</f>
        <v>0</v>
      </c>
      <c r="AI2290" s="88" t="s">
        <v>55</v>
      </c>
      <c r="AJ2290" s="93">
        <f>IF(AN2290=0,L2290,0)</f>
        <v>0</v>
      </c>
      <c r="AK2290" s="93">
        <f>IF(AN2290=12,L2290,0)</f>
        <v>0</v>
      </c>
      <c r="AL2290" s="93">
        <f>IF(AN2290=21,L2290,0)</f>
        <v>0</v>
      </c>
      <c r="AN2290" s="93">
        <v>21</v>
      </c>
      <c r="AO2290" s="93">
        <f>H2290*0.696431751</f>
        <v>0</v>
      </c>
      <c r="AP2290" s="93">
        <f>H2290*(1-0.696431751)</f>
        <v>0</v>
      </c>
      <c r="AQ2290" s="94" t="s">
        <v>148</v>
      </c>
      <c r="AV2290" s="93">
        <f>AW2290+AX2290</f>
        <v>0</v>
      </c>
      <c r="AW2290" s="93">
        <f>G2290*AO2290</f>
        <v>0</v>
      </c>
      <c r="AX2290" s="93">
        <f>G2290*AP2290</f>
        <v>0</v>
      </c>
      <c r="AY2290" s="94" t="s">
        <v>2926</v>
      </c>
      <c r="AZ2290" s="94" t="s">
        <v>2927</v>
      </c>
      <c r="BA2290" s="88" t="s">
        <v>67</v>
      </c>
      <c r="BC2290" s="93">
        <f>AW2290+AX2290</f>
        <v>0</v>
      </c>
      <c r="BD2290" s="93">
        <f>H2290/(100-BE2290)*100</f>
        <v>0</v>
      </c>
      <c r="BE2290" s="93">
        <v>0</v>
      </c>
      <c r="BF2290" s="93">
        <f>O2290</f>
        <v>73.349999999999994</v>
      </c>
      <c r="BH2290" s="93">
        <f>G2290*AO2290</f>
        <v>0</v>
      </c>
      <c r="BI2290" s="93">
        <f>G2290*AP2290</f>
        <v>0</v>
      </c>
      <c r="BJ2290" s="93">
        <f>G2290*H2290</f>
        <v>0</v>
      </c>
      <c r="BK2290" s="93"/>
      <c r="BL2290" s="93"/>
      <c r="BW2290" s="93" t="str">
        <f>I2290</f>
        <v>21</v>
      </c>
      <c r="BX2290" s="2" t="s">
        <v>2998</v>
      </c>
    </row>
    <row r="2291" spans="1:76" s="81" customFormat="1" x14ac:dyDescent="0.25">
      <c r="A2291" s="110"/>
      <c r="B2291" s="95"/>
      <c r="C2291" s="95"/>
      <c r="D2291" s="76" t="s">
        <v>2999</v>
      </c>
      <c r="E2291" s="76" t="s">
        <v>54</v>
      </c>
      <c r="F2291" s="95"/>
      <c r="G2291" s="96">
        <v>45</v>
      </c>
      <c r="H2291" s="95"/>
      <c r="I2291" s="95"/>
      <c r="J2291" s="95"/>
      <c r="K2291" s="95"/>
      <c r="L2291" s="95"/>
      <c r="M2291" s="95"/>
      <c r="N2291" s="95"/>
      <c r="O2291" s="95"/>
      <c r="P2291" s="95"/>
    </row>
    <row r="2292" spans="1:76" s="81" customFormat="1" ht="25.5" x14ac:dyDescent="0.25">
      <c r="A2292" s="66" t="s">
        <v>3013</v>
      </c>
      <c r="B2292" s="72" t="s">
        <v>55</v>
      </c>
      <c r="C2292" s="72" t="s">
        <v>3001</v>
      </c>
      <c r="D2292" s="174" t="s">
        <v>3002</v>
      </c>
      <c r="E2292" s="174"/>
      <c r="F2292" s="72" t="s">
        <v>62</v>
      </c>
      <c r="G2292" s="90">
        <v>14.04</v>
      </c>
      <c r="H2292" s="91"/>
      <c r="I2292" s="92" t="s">
        <v>63</v>
      </c>
      <c r="J2292" s="90">
        <f>G2292*AO2292</f>
        <v>0</v>
      </c>
      <c r="K2292" s="90">
        <f>G2292*AP2292</f>
        <v>0</v>
      </c>
      <c r="L2292" s="90">
        <f>G2292*H2292</f>
        <v>0</v>
      </c>
      <c r="M2292" s="90">
        <f>L2292*(1+BW2292/100)</f>
        <v>0</v>
      </c>
      <c r="N2292" s="90">
        <v>1.665</v>
      </c>
      <c r="O2292" s="90">
        <f>G2292*N2292</f>
        <v>23.3766</v>
      </c>
      <c r="P2292" s="92" t="s">
        <v>64</v>
      </c>
      <c r="Z2292" s="93">
        <f>IF(AQ2292="5",BJ2292,0)</f>
        <v>0</v>
      </c>
      <c r="AB2292" s="93">
        <f>IF(AQ2292="1",BH2292,0)</f>
        <v>0</v>
      </c>
      <c r="AC2292" s="93">
        <f>IF(AQ2292="1",BI2292,0)</f>
        <v>0</v>
      </c>
      <c r="AD2292" s="93">
        <f>IF(AQ2292="7",BH2292,0)</f>
        <v>0</v>
      </c>
      <c r="AE2292" s="93">
        <f>IF(AQ2292="7",BI2292,0)</f>
        <v>0</v>
      </c>
      <c r="AF2292" s="93">
        <f>IF(AQ2292="2",BH2292,0)</f>
        <v>0</v>
      </c>
      <c r="AG2292" s="93">
        <f>IF(AQ2292="2",BI2292,0)</f>
        <v>0</v>
      </c>
      <c r="AH2292" s="93">
        <f>IF(AQ2292="0",BJ2292,0)</f>
        <v>0</v>
      </c>
      <c r="AI2292" s="88" t="s">
        <v>55</v>
      </c>
      <c r="AJ2292" s="93">
        <f>IF(AN2292=0,L2292,0)</f>
        <v>0</v>
      </c>
      <c r="AK2292" s="93">
        <f>IF(AN2292=12,L2292,0)</f>
        <v>0</v>
      </c>
      <c r="AL2292" s="93">
        <f>IF(AN2292=21,L2292,0)</f>
        <v>0</v>
      </c>
      <c r="AN2292" s="93">
        <v>21</v>
      </c>
      <c r="AO2292" s="93">
        <f>H2292*0.741006329</f>
        <v>0</v>
      </c>
      <c r="AP2292" s="93">
        <f>H2292*(1-0.741006329)</f>
        <v>0</v>
      </c>
      <c r="AQ2292" s="94" t="s">
        <v>148</v>
      </c>
      <c r="AV2292" s="93">
        <f>AW2292+AX2292</f>
        <v>0</v>
      </c>
      <c r="AW2292" s="93">
        <f>G2292*AO2292</f>
        <v>0</v>
      </c>
      <c r="AX2292" s="93">
        <f>G2292*AP2292</f>
        <v>0</v>
      </c>
      <c r="AY2292" s="94" t="s">
        <v>2926</v>
      </c>
      <c r="AZ2292" s="94" t="s">
        <v>2927</v>
      </c>
      <c r="BA2292" s="88" t="s">
        <v>67</v>
      </c>
      <c r="BC2292" s="93">
        <f>AW2292+AX2292</f>
        <v>0</v>
      </c>
      <c r="BD2292" s="93">
        <f>H2292/(100-BE2292)*100</f>
        <v>0</v>
      </c>
      <c r="BE2292" s="93">
        <v>0</v>
      </c>
      <c r="BF2292" s="93">
        <f>O2292</f>
        <v>23.3766</v>
      </c>
      <c r="BH2292" s="93">
        <f>G2292*AO2292</f>
        <v>0</v>
      </c>
      <c r="BI2292" s="93">
        <f>G2292*AP2292</f>
        <v>0</v>
      </c>
      <c r="BJ2292" s="93">
        <f>G2292*H2292</f>
        <v>0</v>
      </c>
      <c r="BK2292" s="93"/>
      <c r="BL2292" s="93"/>
      <c r="BW2292" s="93" t="str">
        <f>I2292</f>
        <v>21</v>
      </c>
      <c r="BX2292" s="2" t="s">
        <v>3002</v>
      </c>
    </row>
    <row r="2293" spans="1:76" s="81" customFormat="1" x14ac:dyDescent="0.25">
      <c r="A2293" s="110"/>
      <c r="B2293" s="95"/>
      <c r="C2293" s="95"/>
      <c r="D2293" s="76" t="s">
        <v>54</v>
      </c>
      <c r="E2293" s="76" t="s">
        <v>3003</v>
      </c>
      <c r="F2293" s="95"/>
      <c r="G2293" s="96">
        <v>0</v>
      </c>
      <c r="H2293" s="95"/>
      <c r="I2293" s="95"/>
      <c r="J2293" s="95"/>
      <c r="K2293" s="95"/>
      <c r="L2293" s="95"/>
      <c r="M2293" s="95"/>
      <c r="N2293" s="95"/>
      <c r="O2293" s="95"/>
      <c r="P2293" s="95"/>
    </row>
    <row r="2294" spans="1:76" s="81" customFormat="1" x14ac:dyDescent="0.25">
      <c r="A2294" s="110"/>
      <c r="B2294" s="95"/>
      <c r="C2294" s="95"/>
      <c r="D2294" s="76" t="s">
        <v>3004</v>
      </c>
      <c r="E2294" s="76" t="s">
        <v>54</v>
      </c>
      <c r="F2294" s="95"/>
      <c r="G2294" s="96">
        <v>14.04</v>
      </c>
      <c r="H2294" s="95"/>
      <c r="I2294" s="95"/>
      <c r="J2294" s="95"/>
      <c r="K2294" s="95"/>
      <c r="L2294" s="95"/>
      <c r="M2294" s="95"/>
      <c r="N2294" s="95"/>
      <c r="O2294" s="95"/>
      <c r="P2294" s="95"/>
    </row>
    <row r="2295" spans="1:76" s="81" customFormat="1" ht="25.5" x14ac:dyDescent="0.25">
      <c r="A2295" s="66" t="s">
        <v>3016</v>
      </c>
      <c r="B2295" s="72" t="s">
        <v>55</v>
      </c>
      <c r="C2295" s="72" t="s">
        <v>3006</v>
      </c>
      <c r="D2295" s="174" t="s">
        <v>3007</v>
      </c>
      <c r="E2295" s="174"/>
      <c r="F2295" s="72" t="s">
        <v>62</v>
      </c>
      <c r="G2295" s="90">
        <v>38.6</v>
      </c>
      <c r="H2295" s="91"/>
      <c r="I2295" s="92" t="s">
        <v>63</v>
      </c>
      <c r="J2295" s="90">
        <f>G2295*AO2295</f>
        <v>0</v>
      </c>
      <c r="K2295" s="90">
        <f>G2295*AP2295</f>
        <v>0</v>
      </c>
      <c r="L2295" s="90">
        <f>G2295*H2295</f>
        <v>0</v>
      </c>
      <c r="M2295" s="90">
        <f>L2295*(1+BW2295/100)</f>
        <v>0</v>
      </c>
      <c r="N2295" s="90">
        <v>1.8907700000000001</v>
      </c>
      <c r="O2295" s="90">
        <f>G2295*N2295</f>
        <v>72.983722</v>
      </c>
      <c r="P2295" s="92" t="s">
        <v>64</v>
      </c>
      <c r="Z2295" s="93">
        <f>IF(AQ2295="5",BJ2295,0)</f>
        <v>0</v>
      </c>
      <c r="AB2295" s="93">
        <f>IF(AQ2295="1",BH2295,0)</f>
        <v>0</v>
      </c>
      <c r="AC2295" s="93">
        <f>IF(AQ2295="1",BI2295,0)</f>
        <v>0</v>
      </c>
      <c r="AD2295" s="93">
        <f>IF(AQ2295="7",BH2295,0)</f>
        <v>0</v>
      </c>
      <c r="AE2295" s="93">
        <f>IF(AQ2295="7",BI2295,0)</f>
        <v>0</v>
      </c>
      <c r="AF2295" s="93">
        <f>IF(AQ2295="2",BH2295,0)</f>
        <v>0</v>
      </c>
      <c r="AG2295" s="93">
        <f>IF(AQ2295="2",BI2295,0)</f>
        <v>0</v>
      </c>
      <c r="AH2295" s="93">
        <f>IF(AQ2295="0",BJ2295,0)</f>
        <v>0</v>
      </c>
      <c r="AI2295" s="88" t="s">
        <v>55</v>
      </c>
      <c r="AJ2295" s="93">
        <f>IF(AN2295=0,L2295,0)</f>
        <v>0</v>
      </c>
      <c r="AK2295" s="93">
        <f>IF(AN2295=12,L2295,0)</f>
        <v>0</v>
      </c>
      <c r="AL2295" s="93">
        <f>IF(AN2295=21,L2295,0)</f>
        <v>0</v>
      </c>
      <c r="AN2295" s="93">
        <v>21</v>
      </c>
      <c r="AO2295" s="93">
        <f>H2295*0.488167006</f>
        <v>0</v>
      </c>
      <c r="AP2295" s="93">
        <f>H2295*(1-0.488167006)</f>
        <v>0</v>
      </c>
      <c r="AQ2295" s="94" t="s">
        <v>148</v>
      </c>
      <c r="AV2295" s="93">
        <f>AW2295+AX2295</f>
        <v>0</v>
      </c>
      <c r="AW2295" s="93">
        <f>G2295*AO2295</f>
        <v>0</v>
      </c>
      <c r="AX2295" s="93">
        <f>G2295*AP2295</f>
        <v>0</v>
      </c>
      <c r="AY2295" s="94" t="s">
        <v>2926</v>
      </c>
      <c r="AZ2295" s="94" t="s">
        <v>2927</v>
      </c>
      <c r="BA2295" s="88" t="s">
        <v>67</v>
      </c>
      <c r="BC2295" s="93">
        <f>AW2295+AX2295</f>
        <v>0</v>
      </c>
      <c r="BD2295" s="93">
        <f>H2295/(100-BE2295)*100</f>
        <v>0</v>
      </c>
      <c r="BE2295" s="93">
        <v>0</v>
      </c>
      <c r="BF2295" s="93">
        <f>O2295</f>
        <v>72.983722</v>
      </c>
      <c r="BH2295" s="93">
        <f>G2295*AO2295</f>
        <v>0</v>
      </c>
      <c r="BI2295" s="93">
        <f>G2295*AP2295</f>
        <v>0</v>
      </c>
      <c r="BJ2295" s="93">
        <f>G2295*H2295</f>
        <v>0</v>
      </c>
      <c r="BK2295" s="93"/>
      <c r="BL2295" s="93"/>
      <c r="BW2295" s="93" t="str">
        <f>I2295</f>
        <v>21</v>
      </c>
      <c r="BX2295" s="2" t="s">
        <v>3007</v>
      </c>
    </row>
    <row r="2296" spans="1:76" s="81" customFormat="1" x14ac:dyDescent="0.25">
      <c r="A2296" s="110"/>
      <c r="B2296" s="95"/>
      <c r="C2296" s="95"/>
      <c r="D2296" s="76" t="s">
        <v>54</v>
      </c>
      <c r="E2296" s="76" t="s">
        <v>3008</v>
      </c>
      <c r="F2296" s="95"/>
      <c r="G2296" s="96">
        <v>0</v>
      </c>
      <c r="H2296" s="95"/>
      <c r="I2296" s="95"/>
      <c r="J2296" s="95"/>
      <c r="K2296" s="95"/>
      <c r="L2296" s="95"/>
      <c r="M2296" s="95"/>
      <c r="N2296" s="95"/>
      <c r="O2296" s="95"/>
      <c r="P2296" s="95"/>
    </row>
    <row r="2297" spans="1:76" s="81" customFormat="1" x14ac:dyDescent="0.25">
      <c r="A2297" s="110"/>
      <c r="B2297" s="95"/>
      <c r="C2297" s="95"/>
      <c r="D2297" s="76" t="s">
        <v>54</v>
      </c>
      <c r="E2297" s="76" t="s">
        <v>2938</v>
      </c>
      <c r="F2297" s="95"/>
      <c r="G2297" s="96">
        <v>0</v>
      </c>
      <c r="H2297" s="95"/>
      <c r="I2297" s="95"/>
      <c r="J2297" s="95"/>
      <c r="K2297" s="95"/>
      <c r="L2297" s="95"/>
      <c r="M2297" s="95"/>
      <c r="N2297" s="95"/>
      <c r="O2297" s="95"/>
      <c r="P2297" s="95"/>
    </row>
    <row r="2298" spans="1:76" s="81" customFormat="1" x14ac:dyDescent="0.25">
      <c r="A2298" s="110"/>
      <c r="B2298" s="95"/>
      <c r="C2298" s="95"/>
      <c r="D2298" s="76" t="s">
        <v>3009</v>
      </c>
      <c r="E2298" s="76" t="s">
        <v>54</v>
      </c>
      <c r="F2298" s="95"/>
      <c r="G2298" s="96">
        <v>8.6</v>
      </c>
      <c r="H2298" s="95"/>
      <c r="I2298" s="95"/>
      <c r="J2298" s="95"/>
      <c r="K2298" s="95"/>
      <c r="L2298" s="95"/>
      <c r="M2298" s="95"/>
      <c r="N2298" s="95"/>
      <c r="O2298" s="95"/>
      <c r="P2298" s="95"/>
    </row>
    <row r="2299" spans="1:76" s="81" customFormat="1" x14ac:dyDescent="0.25">
      <c r="A2299" s="110"/>
      <c r="B2299" s="95"/>
      <c r="C2299" s="95"/>
      <c r="D2299" s="76" t="s">
        <v>54</v>
      </c>
      <c r="E2299" s="76" t="s">
        <v>2940</v>
      </c>
      <c r="F2299" s="95"/>
      <c r="G2299" s="96">
        <v>0</v>
      </c>
      <c r="H2299" s="95"/>
      <c r="I2299" s="95"/>
      <c r="J2299" s="95"/>
      <c r="K2299" s="95"/>
      <c r="L2299" s="95"/>
      <c r="M2299" s="95"/>
      <c r="N2299" s="95"/>
      <c r="O2299" s="95"/>
      <c r="P2299" s="95"/>
    </row>
    <row r="2300" spans="1:76" s="81" customFormat="1" x14ac:dyDescent="0.25">
      <c r="A2300" s="110"/>
      <c r="B2300" s="95"/>
      <c r="C2300" s="95"/>
      <c r="D2300" s="76" t="s">
        <v>291</v>
      </c>
      <c r="E2300" s="76" t="s">
        <v>54</v>
      </c>
      <c r="F2300" s="95"/>
      <c r="G2300" s="96">
        <v>30</v>
      </c>
      <c r="H2300" s="95"/>
      <c r="I2300" s="95"/>
      <c r="J2300" s="95"/>
      <c r="K2300" s="95"/>
      <c r="L2300" s="95"/>
      <c r="M2300" s="95"/>
      <c r="N2300" s="95"/>
      <c r="O2300" s="95"/>
      <c r="P2300" s="95"/>
    </row>
    <row r="2301" spans="1:76" s="81" customFormat="1" ht="25.5" x14ac:dyDescent="0.25">
      <c r="A2301" s="66" t="s">
        <v>3019</v>
      </c>
      <c r="B2301" s="72" t="s">
        <v>55</v>
      </c>
      <c r="C2301" s="72" t="s">
        <v>3011</v>
      </c>
      <c r="D2301" s="174" t="s">
        <v>3012</v>
      </c>
      <c r="E2301" s="174"/>
      <c r="F2301" s="72" t="s">
        <v>62</v>
      </c>
      <c r="G2301" s="90">
        <v>2.6</v>
      </c>
      <c r="H2301" s="91"/>
      <c r="I2301" s="92" t="s">
        <v>63</v>
      </c>
      <c r="J2301" s="90">
        <f>G2301*AO2301</f>
        <v>0</v>
      </c>
      <c r="K2301" s="90">
        <f>G2301*AP2301</f>
        <v>0</v>
      </c>
      <c r="L2301" s="90">
        <f>G2301*H2301</f>
        <v>0</v>
      </c>
      <c r="M2301" s="90">
        <f>L2301*(1+BW2301/100)</f>
        <v>0</v>
      </c>
      <c r="N2301" s="90">
        <v>2.5</v>
      </c>
      <c r="O2301" s="90">
        <f>G2301*N2301</f>
        <v>6.5</v>
      </c>
      <c r="P2301" s="92" t="s">
        <v>64</v>
      </c>
      <c r="Z2301" s="93">
        <f>IF(AQ2301="5",BJ2301,0)</f>
        <v>0</v>
      </c>
      <c r="AB2301" s="93">
        <f>IF(AQ2301="1",BH2301,0)</f>
        <v>0</v>
      </c>
      <c r="AC2301" s="93">
        <f>IF(AQ2301="1",BI2301,0)</f>
        <v>0</v>
      </c>
      <c r="AD2301" s="93">
        <f>IF(AQ2301="7",BH2301,0)</f>
        <v>0</v>
      </c>
      <c r="AE2301" s="93">
        <f>IF(AQ2301="7",BI2301,0)</f>
        <v>0</v>
      </c>
      <c r="AF2301" s="93">
        <f>IF(AQ2301="2",BH2301,0)</f>
        <v>0</v>
      </c>
      <c r="AG2301" s="93">
        <f>IF(AQ2301="2",BI2301,0)</f>
        <v>0</v>
      </c>
      <c r="AH2301" s="93">
        <f>IF(AQ2301="0",BJ2301,0)</f>
        <v>0</v>
      </c>
      <c r="AI2301" s="88" t="s">
        <v>55</v>
      </c>
      <c r="AJ2301" s="93">
        <f>IF(AN2301=0,L2301,0)</f>
        <v>0</v>
      </c>
      <c r="AK2301" s="93">
        <f>IF(AN2301=12,L2301,0)</f>
        <v>0</v>
      </c>
      <c r="AL2301" s="93">
        <f>IF(AN2301=21,L2301,0)</f>
        <v>0</v>
      </c>
      <c r="AN2301" s="93">
        <v>21</v>
      </c>
      <c r="AO2301" s="93">
        <f>H2301*0.816246784</f>
        <v>0</v>
      </c>
      <c r="AP2301" s="93">
        <f>H2301*(1-0.816246784)</f>
        <v>0</v>
      </c>
      <c r="AQ2301" s="94" t="s">
        <v>148</v>
      </c>
      <c r="AV2301" s="93">
        <f>AW2301+AX2301</f>
        <v>0</v>
      </c>
      <c r="AW2301" s="93">
        <f>G2301*AO2301</f>
        <v>0</v>
      </c>
      <c r="AX2301" s="93">
        <f>G2301*AP2301</f>
        <v>0</v>
      </c>
      <c r="AY2301" s="94" t="s">
        <v>2926</v>
      </c>
      <c r="AZ2301" s="94" t="s">
        <v>2927</v>
      </c>
      <c r="BA2301" s="88" t="s">
        <v>67</v>
      </c>
      <c r="BC2301" s="93">
        <f>AW2301+AX2301</f>
        <v>0</v>
      </c>
      <c r="BD2301" s="93">
        <f>H2301/(100-BE2301)*100</f>
        <v>0</v>
      </c>
      <c r="BE2301" s="93">
        <v>0</v>
      </c>
      <c r="BF2301" s="93">
        <f>O2301</f>
        <v>6.5</v>
      </c>
      <c r="BH2301" s="93">
        <f>G2301*AO2301</f>
        <v>0</v>
      </c>
      <c r="BI2301" s="93">
        <f>G2301*AP2301</f>
        <v>0</v>
      </c>
      <c r="BJ2301" s="93">
        <f>G2301*H2301</f>
        <v>0</v>
      </c>
      <c r="BK2301" s="93"/>
      <c r="BL2301" s="93"/>
      <c r="BW2301" s="93" t="str">
        <f>I2301</f>
        <v>21</v>
      </c>
      <c r="BX2301" s="2" t="s">
        <v>3012</v>
      </c>
    </row>
    <row r="2302" spans="1:76" s="81" customFormat="1" ht="25.5" x14ac:dyDescent="0.25">
      <c r="A2302" s="66" t="s">
        <v>3023</v>
      </c>
      <c r="B2302" s="72" t="s">
        <v>55</v>
      </c>
      <c r="C2302" s="72" t="s">
        <v>3014</v>
      </c>
      <c r="D2302" s="174" t="s">
        <v>3015</v>
      </c>
      <c r="E2302" s="174"/>
      <c r="F2302" s="72" t="s">
        <v>62</v>
      </c>
      <c r="G2302" s="90">
        <v>3.5</v>
      </c>
      <c r="H2302" s="91"/>
      <c r="I2302" s="92" t="s">
        <v>63</v>
      </c>
      <c r="J2302" s="90">
        <f>G2302*AO2302</f>
        <v>0</v>
      </c>
      <c r="K2302" s="90">
        <f>G2302*AP2302</f>
        <v>0</v>
      </c>
      <c r="L2302" s="90">
        <f>G2302*H2302</f>
        <v>0</v>
      </c>
      <c r="M2302" s="90">
        <f>L2302*(1+BW2302/100)</f>
        <v>0</v>
      </c>
      <c r="N2302" s="90">
        <v>2.0880000000000001</v>
      </c>
      <c r="O2302" s="90">
        <f>G2302*N2302</f>
        <v>7.3079999999999998</v>
      </c>
      <c r="P2302" s="92" t="s">
        <v>64</v>
      </c>
      <c r="Z2302" s="93">
        <f>IF(AQ2302="5",BJ2302,0)</f>
        <v>0</v>
      </c>
      <c r="AB2302" s="93">
        <f>IF(AQ2302="1",BH2302,0)</f>
        <v>0</v>
      </c>
      <c r="AC2302" s="93">
        <f>IF(AQ2302="1",BI2302,0)</f>
        <v>0</v>
      </c>
      <c r="AD2302" s="93">
        <f>IF(AQ2302="7",BH2302,0)</f>
        <v>0</v>
      </c>
      <c r="AE2302" s="93">
        <f>IF(AQ2302="7",BI2302,0)</f>
        <v>0</v>
      </c>
      <c r="AF2302" s="93">
        <f>IF(AQ2302="2",BH2302,0)</f>
        <v>0</v>
      </c>
      <c r="AG2302" s="93">
        <f>IF(AQ2302="2",BI2302,0)</f>
        <v>0</v>
      </c>
      <c r="AH2302" s="93">
        <f>IF(AQ2302="0",BJ2302,0)</f>
        <v>0</v>
      </c>
      <c r="AI2302" s="88" t="s">
        <v>55</v>
      </c>
      <c r="AJ2302" s="93">
        <f>IF(AN2302=0,L2302,0)</f>
        <v>0</v>
      </c>
      <c r="AK2302" s="93">
        <f>IF(AN2302=12,L2302,0)</f>
        <v>0</v>
      </c>
      <c r="AL2302" s="93">
        <f>IF(AN2302=21,L2302,0)</f>
        <v>0</v>
      </c>
      <c r="AN2302" s="93">
        <v>21</v>
      </c>
      <c r="AO2302" s="93">
        <f>H2302*0.54148532</f>
        <v>0</v>
      </c>
      <c r="AP2302" s="93">
        <f>H2302*(1-0.54148532)</f>
        <v>0</v>
      </c>
      <c r="AQ2302" s="94" t="s">
        <v>148</v>
      </c>
      <c r="AV2302" s="93">
        <f>AW2302+AX2302</f>
        <v>0</v>
      </c>
      <c r="AW2302" s="93">
        <f>G2302*AO2302</f>
        <v>0</v>
      </c>
      <c r="AX2302" s="93">
        <f>G2302*AP2302</f>
        <v>0</v>
      </c>
      <c r="AY2302" s="94" t="s">
        <v>2926</v>
      </c>
      <c r="AZ2302" s="94" t="s">
        <v>2927</v>
      </c>
      <c r="BA2302" s="88" t="s">
        <v>67</v>
      </c>
      <c r="BC2302" s="93">
        <f>AW2302+AX2302</f>
        <v>0</v>
      </c>
      <c r="BD2302" s="93">
        <f>H2302/(100-BE2302)*100</f>
        <v>0</v>
      </c>
      <c r="BE2302" s="93">
        <v>0</v>
      </c>
      <c r="BF2302" s="93">
        <f>O2302</f>
        <v>7.3079999999999998</v>
      </c>
      <c r="BH2302" s="93">
        <f>G2302*AO2302</f>
        <v>0</v>
      </c>
      <c r="BI2302" s="93">
        <f>G2302*AP2302</f>
        <v>0</v>
      </c>
      <c r="BJ2302" s="93">
        <f>G2302*H2302</f>
        <v>0</v>
      </c>
      <c r="BK2302" s="93"/>
      <c r="BL2302" s="93"/>
      <c r="BW2302" s="93" t="str">
        <f>I2302</f>
        <v>21</v>
      </c>
      <c r="BX2302" s="2" t="s">
        <v>3015</v>
      </c>
    </row>
    <row r="2303" spans="1:76" s="81" customFormat="1" ht="25.5" x14ac:dyDescent="0.25">
      <c r="A2303" s="66" t="s">
        <v>3027</v>
      </c>
      <c r="B2303" s="72" t="s">
        <v>55</v>
      </c>
      <c r="C2303" s="72" t="s">
        <v>3017</v>
      </c>
      <c r="D2303" s="174" t="s">
        <v>3018</v>
      </c>
      <c r="E2303" s="174"/>
      <c r="F2303" s="72" t="s">
        <v>203</v>
      </c>
      <c r="G2303" s="90">
        <v>12</v>
      </c>
      <c r="H2303" s="91"/>
      <c r="I2303" s="92" t="s">
        <v>63</v>
      </c>
      <c r="J2303" s="90">
        <f>G2303*AO2303</f>
        <v>0</v>
      </c>
      <c r="K2303" s="90">
        <f>G2303*AP2303</f>
        <v>0</v>
      </c>
      <c r="L2303" s="90">
        <f>G2303*H2303</f>
        <v>0</v>
      </c>
      <c r="M2303" s="90">
        <f>L2303*(1+BW2303/100)</f>
        <v>0</v>
      </c>
      <c r="N2303" s="90">
        <v>1.191E-2</v>
      </c>
      <c r="O2303" s="90">
        <f>G2303*N2303</f>
        <v>0.14291999999999999</v>
      </c>
      <c r="P2303" s="92" t="s">
        <v>371</v>
      </c>
      <c r="Z2303" s="93">
        <f>IF(AQ2303="5",BJ2303,0)</f>
        <v>0</v>
      </c>
      <c r="AB2303" s="93">
        <f>IF(AQ2303="1",BH2303,0)</f>
        <v>0</v>
      </c>
      <c r="AC2303" s="93">
        <f>IF(AQ2303="1",BI2303,0)</f>
        <v>0</v>
      </c>
      <c r="AD2303" s="93">
        <f>IF(AQ2303="7",BH2303,0)</f>
        <v>0</v>
      </c>
      <c r="AE2303" s="93">
        <f>IF(AQ2303="7",BI2303,0)</f>
        <v>0</v>
      </c>
      <c r="AF2303" s="93">
        <f>IF(AQ2303="2",BH2303,0)</f>
        <v>0</v>
      </c>
      <c r="AG2303" s="93">
        <f>IF(AQ2303="2",BI2303,0)</f>
        <v>0</v>
      </c>
      <c r="AH2303" s="93">
        <f>IF(AQ2303="0",BJ2303,0)</f>
        <v>0</v>
      </c>
      <c r="AI2303" s="88" t="s">
        <v>55</v>
      </c>
      <c r="AJ2303" s="93">
        <f>IF(AN2303=0,L2303,0)</f>
        <v>0</v>
      </c>
      <c r="AK2303" s="93">
        <f>IF(AN2303=12,L2303,0)</f>
        <v>0</v>
      </c>
      <c r="AL2303" s="93">
        <f>IF(AN2303=21,L2303,0)</f>
        <v>0</v>
      </c>
      <c r="AN2303" s="93">
        <v>21</v>
      </c>
      <c r="AO2303" s="93">
        <f>H2303*0.971237113</f>
        <v>0</v>
      </c>
      <c r="AP2303" s="93">
        <f>H2303*(1-0.971237113)</f>
        <v>0</v>
      </c>
      <c r="AQ2303" s="94" t="s">
        <v>148</v>
      </c>
      <c r="AV2303" s="93">
        <f>AW2303+AX2303</f>
        <v>0</v>
      </c>
      <c r="AW2303" s="93">
        <f>G2303*AO2303</f>
        <v>0</v>
      </c>
      <c r="AX2303" s="93">
        <f>G2303*AP2303</f>
        <v>0</v>
      </c>
      <c r="AY2303" s="94" t="s">
        <v>2926</v>
      </c>
      <c r="AZ2303" s="94" t="s">
        <v>2927</v>
      </c>
      <c r="BA2303" s="88" t="s">
        <v>67</v>
      </c>
      <c r="BC2303" s="93">
        <f>AW2303+AX2303</f>
        <v>0</v>
      </c>
      <c r="BD2303" s="93">
        <f>H2303/(100-BE2303)*100</f>
        <v>0</v>
      </c>
      <c r="BE2303" s="93">
        <v>0</v>
      </c>
      <c r="BF2303" s="93">
        <f>O2303</f>
        <v>0.14291999999999999</v>
      </c>
      <c r="BH2303" s="93">
        <f>G2303*AO2303</f>
        <v>0</v>
      </c>
      <c r="BI2303" s="93">
        <f>G2303*AP2303</f>
        <v>0</v>
      </c>
      <c r="BJ2303" s="93">
        <f>G2303*H2303</f>
        <v>0</v>
      </c>
      <c r="BK2303" s="93"/>
      <c r="BL2303" s="93"/>
      <c r="BW2303" s="93" t="str">
        <f>I2303</f>
        <v>21</v>
      </c>
      <c r="BX2303" s="2" t="s">
        <v>3018</v>
      </c>
    </row>
    <row r="2304" spans="1:76" s="81" customFormat="1" ht="25.5" x14ac:dyDescent="0.25">
      <c r="A2304" s="66" t="s">
        <v>3030</v>
      </c>
      <c r="B2304" s="72" t="s">
        <v>55</v>
      </c>
      <c r="C2304" s="72" t="s">
        <v>3020</v>
      </c>
      <c r="D2304" s="174" t="s">
        <v>3021</v>
      </c>
      <c r="E2304" s="174"/>
      <c r="F2304" s="72" t="s">
        <v>213</v>
      </c>
      <c r="G2304" s="90">
        <v>82</v>
      </c>
      <c r="H2304" s="91"/>
      <c r="I2304" s="92" t="s">
        <v>63</v>
      </c>
      <c r="J2304" s="90">
        <f>G2304*AO2304</f>
        <v>0</v>
      </c>
      <c r="K2304" s="90">
        <f>G2304*AP2304</f>
        <v>0</v>
      </c>
      <c r="L2304" s="90">
        <f>G2304*H2304</f>
        <v>0</v>
      </c>
      <c r="M2304" s="90">
        <f>L2304*(1+BW2304/100)</f>
        <v>0</v>
      </c>
      <c r="N2304" s="90">
        <v>0</v>
      </c>
      <c r="O2304" s="90">
        <f>G2304*N2304</f>
        <v>0</v>
      </c>
      <c r="P2304" s="92" t="s">
        <v>64</v>
      </c>
      <c r="Z2304" s="93">
        <f>IF(AQ2304="5",BJ2304,0)</f>
        <v>0</v>
      </c>
      <c r="AB2304" s="93">
        <f>IF(AQ2304="1",BH2304,0)</f>
        <v>0</v>
      </c>
      <c r="AC2304" s="93">
        <f>IF(AQ2304="1",BI2304,0)</f>
        <v>0</v>
      </c>
      <c r="AD2304" s="93">
        <f>IF(AQ2304="7",BH2304,0)</f>
        <v>0</v>
      </c>
      <c r="AE2304" s="93">
        <f>IF(AQ2304="7",BI2304,0)</f>
        <v>0</v>
      </c>
      <c r="AF2304" s="93">
        <f>IF(AQ2304="2",BH2304,0)</f>
        <v>0</v>
      </c>
      <c r="AG2304" s="93">
        <f>IF(AQ2304="2",BI2304,0)</f>
        <v>0</v>
      </c>
      <c r="AH2304" s="93">
        <f>IF(AQ2304="0",BJ2304,0)</f>
        <v>0</v>
      </c>
      <c r="AI2304" s="88" t="s">
        <v>55</v>
      </c>
      <c r="AJ2304" s="93">
        <f>IF(AN2304=0,L2304,0)</f>
        <v>0</v>
      </c>
      <c r="AK2304" s="93">
        <f>IF(AN2304=12,L2304,0)</f>
        <v>0</v>
      </c>
      <c r="AL2304" s="93">
        <f>IF(AN2304=21,L2304,0)</f>
        <v>0</v>
      </c>
      <c r="AN2304" s="93">
        <v>21</v>
      </c>
      <c r="AO2304" s="93">
        <f>H2304*0</f>
        <v>0</v>
      </c>
      <c r="AP2304" s="93">
        <f>H2304*(1-0)</f>
        <v>0</v>
      </c>
      <c r="AQ2304" s="94" t="s">
        <v>148</v>
      </c>
      <c r="AV2304" s="93">
        <f>AW2304+AX2304</f>
        <v>0</v>
      </c>
      <c r="AW2304" s="93">
        <f>G2304*AO2304</f>
        <v>0</v>
      </c>
      <c r="AX2304" s="93">
        <f>G2304*AP2304</f>
        <v>0</v>
      </c>
      <c r="AY2304" s="94" t="s">
        <v>2926</v>
      </c>
      <c r="AZ2304" s="94" t="s">
        <v>2927</v>
      </c>
      <c r="BA2304" s="88" t="s">
        <v>67</v>
      </c>
      <c r="BC2304" s="93">
        <f>AW2304+AX2304</f>
        <v>0</v>
      </c>
      <c r="BD2304" s="93">
        <f>H2304/(100-BE2304)*100</f>
        <v>0</v>
      </c>
      <c r="BE2304" s="93">
        <v>0</v>
      </c>
      <c r="BF2304" s="93">
        <f>O2304</f>
        <v>0</v>
      </c>
      <c r="BH2304" s="93">
        <f>G2304*AO2304</f>
        <v>0</v>
      </c>
      <c r="BI2304" s="93">
        <f>G2304*AP2304</f>
        <v>0</v>
      </c>
      <c r="BJ2304" s="93">
        <f>G2304*H2304</f>
        <v>0</v>
      </c>
      <c r="BK2304" s="93"/>
      <c r="BL2304" s="93"/>
      <c r="BW2304" s="93" t="str">
        <f>I2304</f>
        <v>21</v>
      </c>
      <c r="BX2304" s="2" t="s">
        <v>3021</v>
      </c>
    </row>
    <row r="2305" spans="1:76" s="81" customFormat="1" ht="13.5" customHeight="1" x14ac:dyDescent="0.25">
      <c r="A2305" s="110"/>
      <c r="B2305" s="95"/>
      <c r="C2305" s="95"/>
      <c r="D2305" s="179" t="s">
        <v>3022</v>
      </c>
      <c r="E2305" s="179"/>
      <c r="F2305" s="179"/>
      <c r="G2305" s="179"/>
      <c r="H2305" s="179"/>
      <c r="I2305" s="179"/>
      <c r="J2305" s="179"/>
      <c r="K2305" s="179"/>
      <c r="L2305" s="179"/>
      <c r="M2305" s="179"/>
      <c r="N2305" s="179"/>
      <c r="O2305" s="179"/>
      <c r="P2305" s="179"/>
    </row>
    <row r="2306" spans="1:76" s="81" customFormat="1" ht="25.5" x14ac:dyDescent="0.25">
      <c r="A2306" s="66" t="s">
        <v>3035</v>
      </c>
      <c r="B2306" s="72" t="s">
        <v>55</v>
      </c>
      <c r="C2306" s="72" t="s">
        <v>3024</v>
      </c>
      <c r="D2306" s="174" t="s">
        <v>3025</v>
      </c>
      <c r="E2306" s="174"/>
      <c r="F2306" s="72" t="s">
        <v>213</v>
      </c>
      <c r="G2306" s="90">
        <v>86.1</v>
      </c>
      <c r="H2306" s="91"/>
      <c r="I2306" s="92" t="s">
        <v>63</v>
      </c>
      <c r="J2306" s="90">
        <f>G2306*AO2306</f>
        <v>0</v>
      </c>
      <c r="K2306" s="90">
        <f>G2306*AP2306</f>
        <v>0</v>
      </c>
      <c r="L2306" s="90">
        <f>G2306*H2306</f>
        <v>0</v>
      </c>
      <c r="M2306" s="90">
        <f>L2306*(1+BW2306/100)</f>
        <v>0</v>
      </c>
      <c r="N2306" s="90">
        <v>2.7999999999999998E-4</v>
      </c>
      <c r="O2306" s="90">
        <f>G2306*N2306</f>
        <v>2.4107999999999997E-2</v>
      </c>
      <c r="P2306" s="92" t="s">
        <v>64</v>
      </c>
      <c r="Z2306" s="93">
        <f>IF(AQ2306="5",BJ2306,0)</f>
        <v>0</v>
      </c>
      <c r="AB2306" s="93">
        <f>IF(AQ2306="1",BH2306,0)</f>
        <v>0</v>
      </c>
      <c r="AC2306" s="93">
        <f>IF(AQ2306="1",BI2306,0)</f>
        <v>0</v>
      </c>
      <c r="AD2306" s="93">
        <f>IF(AQ2306="7",BH2306,0)</f>
        <v>0</v>
      </c>
      <c r="AE2306" s="93">
        <f>IF(AQ2306="7",BI2306,0)</f>
        <v>0</v>
      </c>
      <c r="AF2306" s="93">
        <f>IF(AQ2306="2",BH2306,0)</f>
        <v>0</v>
      </c>
      <c r="AG2306" s="93">
        <f>IF(AQ2306="2",BI2306,0)</f>
        <v>0</v>
      </c>
      <c r="AH2306" s="93">
        <f>IF(AQ2306="0",BJ2306,0)</f>
        <v>0</v>
      </c>
      <c r="AI2306" s="88" t="s">
        <v>55</v>
      </c>
      <c r="AJ2306" s="93">
        <f>IF(AN2306=0,L2306,0)</f>
        <v>0</v>
      </c>
      <c r="AK2306" s="93">
        <f>IF(AN2306=12,L2306,0)</f>
        <v>0</v>
      </c>
      <c r="AL2306" s="93">
        <f>IF(AN2306=21,L2306,0)</f>
        <v>0</v>
      </c>
      <c r="AN2306" s="93">
        <v>21</v>
      </c>
      <c r="AO2306" s="93">
        <f>H2306*1</f>
        <v>0</v>
      </c>
      <c r="AP2306" s="93">
        <f>H2306*(1-1)</f>
        <v>0</v>
      </c>
      <c r="AQ2306" s="94" t="s">
        <v>148</v>
      </c>
      <c r="AV2306" s="93">
        <f>AW2306+AX2306</f>
        <v>0</v>
      </c>
      <c r="AW2306" s="93">
        <f>G2306*AO2306</f>
        <v>0</v>
      </c>
      <c r="AX2306" s="93">
        <f>G2306*AP2306</f>
        <v>0</v>
      </c>
      <c r="AY2306" s="94" t="s">
        <v>2926</v>
      </c>
      <c r="AZ2306" s="94" t="s">
        <v>2927</v>
      </c>
      <c r="BA2306" s="88" t="s">
        <v>67</v>
      </c>
      <c r="BC2306" s="93">
        <f>AW2306+AX2306</f>
        <v>0</v>
      </c>
      <c r="BD2306" s="93">
        <f>H2306/(100-BE2306)*100</f>
        <v>0</v>
      </c>
      <c r="BE2306" s="93">
        <v>0</v>
      </c>
      <c r="BF2306" s="93">
        <f>O2306</f>
        <v>2.4107999999999997E-2</v>
      </c>
      <c r="BH2306" s="93">
        <f>G2306*AO2306</f>
        <v>0</v>
      </c>
      <c r="BI2306" s="93">
        <f>G2306*AP2306</f>
        <v>0</v>
      </c>
      <c r="BJ2306" s="93">
        <f>G2306*H2306</f>
        <v>0</v>
      </c>
      <c r="BK2306" s="93"/>
      <c r="BL2306" s="93"/>
      <c r="BW2306" s="93" t="str">
        <f>I2306</f>
        <v>21</v>
      </c>
      <c r="BX2306" s="2" t="s">
        <v>3025</v>
      </c>
    </row>
    <row r="2307" spans="1:76" s="81" customFormat="1" x14ac:dyDescent="0.25">
      <c r="A2307" s="110"/>
      <c r="B2307" s="95"/>
      <c r="C2307" s="95"/>
      <c r="D2307" s="76" t="s">
        <v>674</v>
      </c>
      <c r="E2307" s="76" t="s">
        <v>54</v>
      </c>
      <c r="F2307" s="95"/>
      <c r="G2307" s="96">
        <v>82</v>
      </c>
      <c r="H2307" s="95"/>
      <c r="I2307" s="95"/>
      <c r="J2307" s="95"/>
      <c r="K2307" s="95"/>
      <c r="L2307" s="95"/>
      <c r="M2307" s="95"/>
      <c r="N2307" s="95"/>
      <c r="O2307" s="95"/>
      <c r="P2307" s="95"/>
    </row>
    <row r="2308" spans="1:76" s="81" customFormat="1" x14ac:dyDescent="0.25">
      <c r="A2308" s="110"/>
      <c r="B2308" s="95"/>
      <c r="C2308" s="95"/>
      <c r="D2308" s="76" t="s">
        <v>3026</v>
      </c>
      <c r="E2308" s="76" t="s">
        <v>54</v>
      </c>
      <c r="F2308" s="95"/>
      <c r="G2308" s="96">
        <v>4.0999999999999996</v>
      </c>
      <c r="H2308" s="95"/>
      <c r="I2308" s="95"/>
      <c r="J2308" s="95"/>
      <c r="K2308" s="95"/>
      <c r="L2308" s="95"/>
      <c r="M2308" s="95"/>
      <c r="N2308" s="95"/>
      <c r="O2308" s="95"/>
      <c r="P2308" s="95"/>
    </row>
    <row r="2309" spans="1:76" s="81" customFormat="1" ht="25.5" x14ac:dyDescent="0.25">
      <c r="A2309" s="66" t="s">
        <v>3038</v>
      </c>
      <c r="B2309" s="72" t="s">
        <v>55</v>
      </c>
      <c r="C2309" s="72" t="s">
        <v>3028</v>
      </c>
      <c r="D2309" s="174" t="s">
        <v>3029</v>
      </c>
      <c r="E2309" s="174"/>
      <c r="F2309" s="72" t="s">
        <v>213</v>
      </c>
      <c r="G2309" s="90">
        <v>18.2</v>
      </c>
      <c r="H2309" s="91"/>
      <c r="I2309" s="92" t="s">
        <v>63</v>
      </c>
      <c r="J2309" s="90">
        <f>G2309*AO2309</f>
        <v>0</v>
      </c>
      <c r="K2309" s="90">
        <f>G2309*AP2309</f>
        <v>0</v>
      </c>
      <c r="L2309" s="90">
        <f>G2309*H2309</f>
        <v>0</v>
      </c>
      <c r="M2309" s="90">
        <f>L2309*(1+BW2309/100)</f>
        <v>0</v>
      </c>
      <c r="N2309" s="90">
        <v>0</v>
      </c>
      <c r="O2309" s="90">
        <f>G2309*N2309</f>
        <v>0</v>
      </c>
      <c r="P2309" s="92" t="s">
        <v>64</v>
      </c>
      <c r="Z2309" s="93">
        <f>IF(AQ2309="5",BJ2309,0)</f>
        <v>0</v>
      </c>
      <c r="AB2309" s="93">
        <f>IF(AQ2309="1",BH2309,0)</f>
        <v>0</v>
      </c>
      <c r="AC2309" s="93">
        <f>IF(AQ2309="1",BI2309,0)</f>
        <v>0</v>
      </c>
      <c r="AD2309" s="93">
        <f>IF(AQ2309="7",BH2309,0)</f>
        <v>0</v>
      </c>
      <c r="AE2309" s="93">
        <f>IF(AQ2309="7",BI2309,0)</f>
        <v>0</v>
      </c>
      <c r="AF2309" s="93">
        <f>IF(AQ2309="2",BH2309,0)</f>
        <v>0</v>
      </c>
      <c r="AG2309" s="93">
        <f>IF(AQ2309="2",BI2309,0)</f>
        <v>0</v>
      </c>
      <c r="AH2309" s="93">
        <f>IF(AQ2309="0",BJ2309,0)</f>
        <v>0</v>
      </c>
      <c r="AI2309" s="88" t="s">
        <v>55</v>
      </c>
      <c r="AJ2309" s="93">
        <f>IF(AN2309=0,L2309,0)</f>
        <v>0</v>
      </c>
      <c r="AK2309" s="93">
        <f>IF(AN2309=12,L2309,0)</f>
        <v>0</v>
      </c>
      <c r="AL2309" s="93">
        <f>IF(AN2309=21,L2309,0)</f>
        <v>0</v>
      </c>
      <c r="AN2309" s="93">
        <v>21</v>
      </c>
      <c r="AO2309" s="93">
        <f>H2309*0</f>
        <v>0</v>
      </c>
      <c r="AP2309" s="93">
        <f>H2309*(1-0)</f>
        <v>0</v>
      </c>
      <c r="AQ2309" s="94" t="s">
        <v>148</v>
      </c>
      <c r="AV2309" s="93">
        <f>AW2309+AX2309</f>
        <v>0</v>
      </c>
      <c r="AW2309" s="93">
        <f>G2309*AO2309</f>
        <v>0</v>
      </c>
      <c r="AX2309" s="93">
        <f>G2309*AP2309</f>
        <v>0</v>
      </c>
      <c r="AY2309" s="94" t="s">
        <v>2926</v>
      </c>
      <c r="AZ2309" s="94" t="s">
        <v>2927</v>
      </c>
      <c r="BA2309" s="88" t="s">
        <v>67</v>
      </c>
      <c r="BC2309" s="93">
        <f>AW2309+AX2309</f>
        <v>0</v>
      </c>
      <c r="BD2309" s="93">
        <f>H2309/(100-BE2309)*100</f>
        <v>0</v>
      </c>
      <c r="BE2309" s="93">
        <v>0</v>
      </c>
      <c r="BF2309" s="93">
        <f>O2309</f>
        <v>0</v>
      </c>
      <c r="BH2309" s="93">
        <f>G2309*AO2309</f>
        <v>0</v>
      </c>
      <c r="BI2309" s="93">
        <f>G2309*AP2309</f>
        <v>0</v>
      </c>
      <c r="BJ2309" s="93">
        <f>G2309*H2309</f>
        <v>0</v>
      </c>
      <c r="BK2309" s="93"/>
      <c r="BL2309" s="93"/>
      <c r="BW2309" s="93" t="str">
        <f>I2309</f>
        <v>21</v>
      </c>
      <c r="BX2309" s="2" t="s">
        <v>3029</v>
      </c>
    </row>
    <row r="2310" spans="1:76" s="81" customFormat="1" ht="13.5" customHeight="1" x14ac:dyDescent="0.25">
      <c r="A2310" s="110"/>
      <c r="B2310" s="95"/>
      <c r="C2310" s="95"/>
      <c r="D2310" s="179" t="s">
        <v>3022</v>
      </c>
      <c r="E2310" s="179"/>
      <c r="F2310" s="179"/>
      <c r="G2310" s="179"/>
      <c r="H2310" s="179"/>
      <c r="I2310" s="179"/>
      <c r="J2310" s="179"/>
      <c r="K2310" s="179"/>
      <c r="L2310" s="179"/>
      <c r="M2310" s="179"/>
      <c r="N2310" s="179"/>
      <c r="O2310" s="179"/>
      <c r="P2310" s="179"/>
    </row>
    <row r="2311" spans="1:76" s="81" customFormat="1" ht="25.5" x14ac:dyDescent="0.25">
      <c r="A2311" s="66" t="s">
        <v>3042</v>
      </c>
      <c r="B2311" s="72" t="s">
        <v>55</v>
      </c>
      <c r="C2311" s="72" t="s">
        <v>3031</v>
      </c>
      <c r="D2311" s="174" t="s">
        <v>3032</v>
      </c>
      <c r="E2311" s="174"/>
      <c r="F2311" s="72" t="s">
        <v>213</v>
      </c>
      <c r="G2311" s="90">
        <v>19.11</v>
      </c>
      <c r="H2311" s="91"/>
      <c r="I2311" s="92" t="s">
        <v>63</v>
      </c>
      <c r="J2311" s="90">
        <f>G2311*AO2311</f>
        <v>0</v>
      </c>
      <c r="K2311" s="90">
        <f>G2311*AP2311</f>
        <v>0</v>
      </c>
      <c r="L2311" s="90">
        <f>G2311*H2311</f>
        <v>0</v>
      </c>
      <c r="M2311" s="90">
        <f>L2311*(1+BW2311/100)</f>
        <v>0</v>
      </c>
      <c r="N2311" s="90">
        <v>6.7000000000000002E-4</v>
      </c>
      <c r="O2311" s="90">
        <f>G2311*N2311</f>
        <v>1.2803699999999999E-2</v>
      </c>
      <c r="P2311" s="92" t="s">
        <v>64</v>
      </c>
      <c r="Z2311" s="93">
        <f>IF(AQ2311="5",BJ2311,0)</f>
        <v>0</v>
      </c>
      <c r="AB2311" s="93">
        <f>IF(AQ2311="1",BH2311,0)</f>
        <v>0</v>
      </c>
      <c r="AC2311" s="93">
        <f>IF(AQ2311="1",BI2311,0)</f>
        <v>0</v>
      </c>
      <c r="AD2311" s="93">
        <f>IF(AQ2311="7",BH2311,0)</f>
        <v>0</v>
      </c>
      <c r="AE2311" s="93">
        <f>IF(AQ2311="7",BI2311,0)</f>
        <v>0</v>
      </c>
      <c r="AF2311" s="93">
        <f>IF(AQ2311="2",BH2311,0)</f>
        <v>0</v>
      </c>
      <c r="AG2311" s="93">
        <f>IF(AQ2311="2",BI2311,0)</f>
        <v>0</v>
      </c>
      <c r="AH2311" s="93">
        <f>IF(AQ2311="0",BJ2311,0)</f>
        <v>0</v>
      </c>
      <c r="AI2311" s="88" t="s">
        <v>55</v>
      </c>
      <c r="AJ2311" s="93">
        <f>IF(AN2311=0,L2311,0)</f>
        <v>0</v>
      </c>
      <c r="AK2311" s="93">
        <f>IF(AN2311=12,L2311,0)</f>
        <v>0</v>
      </c>
      <c r="AL2311" s="93">
        <f>IF(AN2311=21,L2311,0)</f>
        <v>0</v>
      </c>
      <c r="AN2311" s="93">
        <v>21</v>
      </c>
      <c r="AO2311" s="93">
        <f>H2311*1</f>
        <v>0</v>
      </c>
      <c r="AP2311" s="93">
        <f>H2311*(1-1)</f>
        <v>0</v>
      </c>
      <c r="AQ2311" s="94" t="s">
        <v>148</v>
      </c>
      <c r="AV2311" s="93">
        <f>AW2311+AX2311</f>
        <v>0</v>
      </c>
      <c r="AW2311" s="93">
        <f>G2311*AO2311</f>
        <v>0</v>
      </c>
      <c r="AX2311" s="93">
        <f>G2311*AP2311</f>
        <v>0</v>
      </c>
      <c r="AY2311" s="94" t="s">
        <v>2926</v>
      </c>
      <c r="AZ2311" s="94" t="s">
        <v>2927</v>
      </c>
      <c r="BA2311" s="88" t="s">
        <v>67</v>
      </c>
      <c r="BC2311" s="93">
        <f>AW2311+AX2311</f>
        <v>0</v>
      </c>
      <c r="BD2311" s="93">
        <f>H2311/(100-BE2311)*100</f>
        <v>0</v>
      </c>
      <c r="BE2311" s="93">
        <v>0</v>
      </c>
      <c r="BF2311" s="93">
        <f>O2311</f>
        <v>1.2803699999999999E-2</v>
      </c>
      <c r="BH2311" s="93">
        <f>G2311*AO2311</f>
        <v>0</v>
      </c>
      <c r="BI2311" s="93">
        <f>G2311*AP2311</f>
        <v>0</v>
      </c>
      <c r="BJ2311" s="93">
        <f>G2311*H2311</f>
        <v>0</v>
      </c>
      <c r="BK2311" s="93"/>
      <c r="BL2311" s="93"/>
      <c r="BW2311" s="93" t="str">
        <f>I2311</f>
        <v>21</v>
      </c>
      <c r="BX2311" s="2" t="s">
        <v>3032</v>
      </c>
    </row>
    <row r="2312" spans="1:76" s="81" customFormat="1" x14ac:dyDescent="0.25">
      <c r="A2312" s="110"/>
      <c r="B2312" s="95"/>
      <c r="C2312" s="95"/>
      <c r="D2312" s="76" t="s">
        <v>3033</v>
      </c>
      <c r="E2312" s="76" t="s">
        <v>54</v>
      </c>
      <c r="F2312" s="95"/>
      <c r="G2312" s="96">
        <v>18.2</v>
      </c>
      <c r="H2312" s="95"/>
      <c r="I2312" s="95"/>
      <c r="J2312" s="95"/>
      <c r="K2312" s="95"/>
      <c r="L2312" s="95"/>
      <c r="M2312" s="95"/>
      <c r="N2312" s="95"/>
      <c r="O2312" s="95"/>
      <c r="P2312" s="95"/>
    </row>
    <row r="2313" spans="1:76" s="81" customFormat="1" x14ac:dyDescent="0.25">
      <c r="A2313" s="110"/>
      <c r="B2313" s="95"/>
      <c r="C2313" s="95"/>
      <c r="D2313" s="76" t="s">
        <v>3034</v>
      </c>
      <c r="E2313" s="76" t="s">
        <v>54</v>
      </c>
      <c r="F2313" s="95"/>
      <c r="G2313" s="96">
        <v>0.91</v>
      </c>
      <c r="H2313" s="95"/>
      <c r="I2313" s="95"/>
      <c r="J2313" s="95"/>
      <c r="K2313" s="95"/>
      <c r="L2313" s="95"/>
      <c r="M2313" s="95"/>
      <c r="N2313" s="95"/>
      <c r="O2313" s="95"/>
      <c r="P2313" s="95"/>
    </row>
    <row r="2314" spans="1:76" s="81" customFormat="1" ht="25.5" x14ac:dyDescent="0.25">
      <c r="A2314" s="66" t="s">
        <v>3045</v>
      </c>
      <c r="B2314" s="72" t="s">
        <v>55</v>
      </c>
      <c r="C2314" s="72" t="s">
        <v>3036</v>
      </c>
      <c r="D2314" s="174" t="s">
        <v>3037</v>
      </c>
      <c r="E2314" s="174"/>
      <c r="F2314" s="72" t="s">
        <v>203</v>
      </c>
      <c r="G2314" s="90">
        <v>1</v>
      </c>
      <c r="H2314" s="91"/>
      <c r="I2314" s="92" t="s">
        <v>63</v>
      </c>
      <c r="J2314" s="90">
        <f>G2314*AO2314</f>
        <v>0</v>
      </c>
      <c r="K2314" s="90">
        <f>G2314*AP2314</f>
        <v>0</v>
      </c>
      <c r="L2314" s="90">
        <f>G2314*H2314</f>
        <v>0</v>
      </c>
      <c r="M2314" s="90">
        <f>L2314*(1+BW2314/100)</f>
        <v>0</v>
      </c>
      <c r="N2314" s="90">
        <v>8.0000000000000007E-5</v>
      </c>
      <c r="O2314" s="90">
        <f>G2314*N2314</f>
        <v>8.0000000000000007E-5</v>
      </c>
      <c r="P2314" s="92" t="s">
        <v>64</v>
      </c>
      <c r="Z2314" s="93">
        <f>IF(AQ2314="5",BJ2314,0)</f>
        <v>0</v>
      </c>
      <c r="AB2314" s="93">
        <f>IF(AQ2314="1",BH2314,0)</f>
        <v>0</v>
      </c>
      <c r="AC2314" s="93">
        <f>IF(AQ2314="1",BI2314,0)</f>
        <v>0</v>
      </c>
      <c r="AD2314" s="93">
        <f>IF(AQ2314="7",BH2314,0)</f>
        <v>0</v>
      </c>
      <c r="AE2314" s="93">
        <f>IF(AQ2314="7",BI2314,0)</f>
        <v>0</v>
      </c>
      <c r="AF2314" s="93">
        <f>IF(AQ2314="2",BH2314,0)</f>
        <v>0</v>
      </c>
      <c r="AG2314" s="93">
        <f>IF(AQ2314="2",BI2314,0)</f>
        <v>0</v>
      </c>
      <c r="AH2314" s="93">
        <f>IF(AQ2314="0",BJ2314,0)</f>
        <v>0</v>
      </c>
      <c r="AI2314" s="88" t="s">
        <v>55</v>
      </c>
      <c r="AJ2314" s="93">
        <f>IF(AN2314=0,L2314,0)</f>
        <v>0</v>
      </c>
      <c r="AK2314" s="93">
        <f>IF(AN2314=12,L2314,0)</f>
        <v>0</v>
      </c>
      <c r="AL2314" s="93">
        <f>IF(AN2314=21,L2314,0)</f>
        <v>0</v>
      </c>
      <c r="AN2314" s="93">
        <v>21</v>
      </c>
      <c r="AO2314" s="93">
        <f>H2314*0.008498024</f>
        <v>0</v>
      </c>
      <c r="AP2314" s="93">
        <f>H2314*(1-0.008498024)</f>
        <v>0</v>
      </c>
      <c r="AQ2314" s="94" t="s">
        <v>148</v>
      </c>
      <c r="AV2314" s="93">
        <f>AW2314+AX2314</f>
        <v>0</v>
      </c>
      <c r="AW2314" s="93">
        <f>G2314*AO2314</f>
        <v>0</v>
      </c>
      <c r="AX2314" s="93">
        <f>G2314*AP2314</f>
        <v>0</v>
      </c>
      <c r="AY2314" s="94" t="s">
        <v>2926</v>
      </c>
      <c r="AZ2314" s="94" t="s">
        <v>2927</v>
      </c>
      <c r="BA2314" s="88" t="s">
        <v>67</v>
      </c>
      <c r="BC2314" s="93">
        <f>AW2314+AX2314</f>
        <v>0</v>
      </c>
      <c r="BD2314" s="93">
        <f>H2314/(100-BE2314)*100</f>
        <v>0</v>
      </c>
      <c r="BE2314" s="93">
        <v>0</v>
      </c>
      <c r="BF2314" s="93">
        <f>O2314</f>
        <v>8.0000000000000007E-5</v>
      </c>
      <c r="BH2314" s="93">
        <f>G2314*AO2314</f>
        <v>0</v>
      </c>
      <c r="BI2314" s="93">
        <f>G2314*AP2314</f>
        <v>0</v>
      </c>
      <c r="BJ2314" s="93">
        <f>G2314*H2314</f>
        <v>0</v>
      </c>
      <c r="BK2314" s="93"/>
      <c r="BL2314" s="93"/>
      <c r="BW2314" s="93" t="str">
        <f>I2314</f>
        <v>21</v>
      </c>
      <c r="BX2314" s="2" t="s">
        <v>3037</v>
      </c>
    </row>
    <row r="2315" spans="1:76" s="81" customFormat="1" ht="25.5" x14ac:dyDescent="0.25">
      <c r="A2315" s="66" t="s">
        <v>3048</v>
      </c>
      <c r="B2315" s="72" t="s">
        <v>55</v>
      </c>
      <c r="C2315" s="72" t="s">
        <v>3039</v>
      </c>
      <c r="D2315" s="174" t="s">
        <v>3040</v>
      </c>
      <c r="E2315" s="174"/>
      <c r="F2315" s="72" t="s">
        <v>213</v>
      </c>
      <c r="G2315" s="90">
        <v>100.2</v>
      </c>
      <c r="H2315" s="91"/>
      <c r="I2315" s="92" t="s">
        <v>63</v>
      </c>
      <c r="J2315" s="90">
        <f>G2315*AO2315</f>
        <v>0</v>
      </c>
      <c r="K2315" s="90">
        <f>G2315*AP2315</f>
        <v>0</v>
      </c>
      <c r="L2315" s="90">
        <f>G2315*H2315</f>
        <v>0</v>
      </c>
      <c r="M2315" s="90">
        <f>L2315*(1+BW2315/100)</f>
        <v>0</v>
      </c>
      <c r="N2315" s="90">
        <v>0</v>
      </c>
      <c r="O2315" s="90">
        <f>G2315*N2315</f>
        <v>0</v>
      </c>
      <c r="P2315" s="92" t="s">
        <v>64</v>
      </c>
      <c r="Z2315" s="93">
        <f>IF(AQ2315="5",BJ2315,0)</f>
        <v>0</v>
      </c>
      <c r="AB2315" s="93">
        <f>IF(AQ2315="1",BH2315,0)</f>
        <v>0</v>
      </c>
      <c r="AC2315" s="93">
        <f>IF(AQ2315="1",BI2315,0)</f>
        <v>0</v>
      </c>
      <c r="AD2315" s="93">
        <f>IF(AQ2315="7",BH2315,0)</f>
        <v>0</v>
      </c>
      <c r="AE2315" s="93">
        <f>IF(AQ2315="7",BI2315,0)</f>
        <v>0</v>
      </c>
      <c r="AF2315" s="93">
        <f>IF(AQ2315="2",BH2315,0)</f>
        <v>0</v>
      </c>
      <c r="AG2315" s="93">
        <f>IF(AQ2315="2",BI2315,0)</f>
        <v>0</v>
      </c>
      <c r="AH2315" s="93">
        <f>IF(AQ2315="0",BJ2315,0)</f>
        <v>0</v>
      </c>
      <c r="AI2315" s="88" t="s">
        <v>55</v>
      </c>
      <c r="AJ2315" s="93">
        <f>IF(AN2315=0,L2315,0)</f>
        <v>0</v>
      </c>
      <c r="AK2315" s="93">
        <f>IF(AN2315=12,L2315,0)</f>
        <v>0</v>
      </c>
      <c r="AL2315" s="93">
        <f>IF(AN2315=21,L2315,0)</f>
        <v>0</v>
      </c>
      <c r="AN2315" s="93">
        <v>21</v>
      </c>
      <c r="AO2315" s="93">
        <f>H2315*0.005820722</f>
        <v>0</v>
      </c>
      <c r="AP2315" s="93">
        <f>H2315*(1-0.005820722)</f>
        <v>0</v>
      </c>
      <c r="AQ2315" s="94" t="s">
        <v>148</v>
      </c>
      <c r="AV2315" s="93">
        <f>AW2315+AX2315</f>
        <v>0</v>
      </c>
      <c r="AW2315" s="93">
        <f>G2315*AO2315</f>
        <v>0</v>
      </c>
      <c r="AX2315" s="93">
        <f>G2315*AP2315</f>
        <v>0</v>
      </c>
      <c r="AY2315" s="94" t="s">
        <v>2926</v>
      </c>
      <c r="AZ2315" s="94" t="s">
        <v>2927</v>
      </c>
      <c r="BA2315" s="88" t="s">
        <v>67</v>
      </c>
      <c r="BC2315" s="93">
        <f>AW2315+AX2315</f>
        <v>0</v>
      </c>
      <c r="BD2315" s="93">
        <f>H2315/(100-BE2315)*100</f>
        <v>0</v>
      </c>
      <c r="BE2315" s="93">
        <v>0</v>
      </c>
      <c r="BF2315" s="93">
        <f>O2315</f>
        <v>0</v>
      </c>
      <c r="BH2315" s="93">
        <f>G2315*AO2315</f>
        <v>0</v>
      </c>
      <c r="BI2315" s="93">
        <f>G2315*AP2315</f>
        <v>0</v>
      </c>
      <c r="BJ2315" s="93">
        <f>G2315*H2315</f>
        <v>0</v>
      </c>
      <c r="BK2315" s="93"/>
      <c r="BL2315" s="93"/>
      <c r="BW2315" s="93" t="str">
        <f>I2315</f>
        <v>21</v>
      </c>
      <c r="BX2315" s="2" t="s">
        <v>3040</v>
      </c>
    </row>
    <row r="2316" spans="1:76" s="81" customFormat="1" x14ac:dyDescent="0.25">
      <c r="A2316" s="110"/>
      <c r="B2316" s="95"/>
      <c r="C2316" s="95"/>
      <c r="D2316" s="76" t="s">
        <v>3041</v>
      </c>
      <c r="E2316" s="76" t="s">
        <v>54</v>
      </c>
      <c r="F2316" s="95"/>
      <c r="G2316" s="96">
        <v>100.2</v>
      </c>
      <c r="H2316" s="95"/>
      <c r="I2316" s="95"/>
      <c r="J2316" s="95"/>
      <c r="K2316" s="95"/>
      <c r="L2316" s="95"/>
      <c r="M2316" s="95"/>
      <c r="N2316" s="95"/>
      <c r="O2316" s="95"/>
      <c r="P2316" s="95"/>
    </row>
    <row r="2317" spans="1:76" s="81" customFormat="1" ht="25.5" x14ac:dyDescent="0.25">
      <c r="A2317" s="66" t="s">
        <v>3051</v>
      </c>
      <c r="B2317" s="72" t="s">
        <v>55</v>
      </c>
      <c r="C2317" s="72" t="s">
        <v>3043</v>
      </c>
      <c r="D2317" s="174" t="s">
        <v>3044</v>
      </c>
      <c r="E2317" s="174"/>
      <c r="F2317" s="72" t="s">
        <v>213</v>
      </c>
      <c r="G2317" s="90">
        <v>106.2</v>
      </c>
      <c r="H2317" s="91"/>
      <c r="I2317" s="92" t="s">
        <v>63</v>
      </c>
      <c r="J2317" s="90">
        <f>G2317*AO2317</f>
        <v>0</v>
      </c>
      <c r="K2317" s="90">
        <f>G2317*AP2317</f>
        <v>0</v>
      </c>
      <c r="L2317" s="90">
        <f>G2317*H2317</f>
        <v>0</v>
      </c>
      <c r="M2317" s="90">
        <f>L2317*(1+BW2317/100)</f>
        <v>0</v>
      </c>
      <c r="N2317" s="90">
        <v>5.0000000000000002E-5</v>
      </c>
      <c r="O2317" s="90">
        <f>G2317*N2317</f>
        <v>5.3100000000000005E-3</v>
      </c>
      <c r="P2317" s="92" t="s">
        <v>64</v>
      </c>
      <c r="Z2317" s="93">
        <f>IF(AQ2317="5",BJ2317,0)</f>
        <v>0</v>
      </c>
      <c r="AB2317" s="93">
        <f>IF(AQ2317="1",BH2317,0)</f>
        <v>0</v>
      </c>
      <c r="AC2317" s="93">
        <f>IF(AQ2317="1",BI2317,0)</f>
        <v>0</v>
      </c>
      <c r="AD2317" s="93">
        <f>IF(AQ2317="7",BH2317,0)</f>
        <v>0</v>
      </c>
      <c r="AE2317" s="93">
        <f>IF(AQ2317="7",BI2317,0)</f>
        <v>0</v>
      </c>
      <c r="AF2317" s="93">
        <f>IF(AQ2317="2",BH2317,0)</f>
        <v>0</v>
      </c>
      <c r="AG2317" s="93">
        <f>IF(AQ2317="2",BI2317,0)</f>
        <v>0</v>
      </c>
      <c r="AH2317" s="93">
        <f>IF(AQ2317="0",BJ2317,0)</f>
        <v>0</v>
      </c>
      <c r="AI2317" s="88" t="s">
        <v>55</v>
      </c>
      <c r="AJ2317" s="93">
        <f>IF(AN2317=0,L2317,0)</f>
        <v>0</v>
      </c>
      <c r="AK2317" s="93">
        <f>IF(AN2317=12,L2317,0)</f>
        <v>0</v>
      </c>
      <c r="AL2317" s="93">
        <f>IF(AN2317=21,L2317,0)</f>
        <v>0</v>
      </c>
      <c r="AN2317" s="93">
        <v>21</v>
      </c>
      <c r="AO2317" s="93">
        <f>H2317*0.469638159</f>
        <v>0</v>
      </c>
      <c r="AP2317" s="93">
        <f>H2317*(1-0.469638159)</f>
        <v>0</v>
      </c>
      <c r="AQ2317" s="94" t="s">
        <v>148</v>
      </c>
      <c r="AV2317" s="93">
        <f>AW2317+AX2317</f>
        <v>0</v>
      </c>
      <c r="AW2317" s="93">
        <f>G2317*AO2317</f>
        <v>0</v>
      </c>
      <c r="AX2317" s="93">
        <f>G2317*AP2317</f>
        <v>0</v>
      </c>
      <c r="AY2317" s="94" t="s">
        <v>2926</v>
      </c>
      <c r="AZ2317" s="94" t="s">
        <v>2927</v>
      </c>
      <c r="BA2317" s="88" t="s">
        <v>67</v>
      </c>
      <c r="BC2317" s="93">
        <f>AW2317+AX2317</f>
        <v>0</v>
      </c>
      <c r="BD2317" s="93">
        <f>H2317/(100-BE2317)*100</f>
        <v>0</v>
      </c>
      <c r="BE2317" s="93">
        <v>0</v>
      </c>
      <c r="BF2317" s="93">
        <f>O2317</f>
        <v>5.3100000000000005E-3</v>
      </c>
      <c r="BH2317" s="93">
        <f>G2317*AO2317</f>
        <v>0</v>
      </c>
      <c r="BI2317" s="93">
        <f>G2317*AP2317</f>
        <v>0</v>
      </c>
      <c r="BJ2317" s="93">
        <f>G2317*H2317</f>
        <v>0</v>
      </c>
      <c r="BK2317" s="93"/>
      <c r="BL2317" s="93"/>
      <c r="BW2317" s="93" t="str">
        <f>I2317</f>
        <v>21</v>
      </c>
      <c r="BX2317" s="2" t="s">
        <v>3044</v>
      </c>
    </row>
    <row r="2318" spans="1:76" s="81" customFormat="1" ht="25.5" x14ac:dyDescent="0.25">
      <c r="A2318" s="66" t="s">
        <v>3055</v>
      </c>
      <c r="B2318" s="72" t="s">
        <v>55</v>
      </c>
      <c r="C2318" s="72" t="s">
        <v>3046</v>
      </c>
      <c r="D2318" s="174" t="s">
        <v>3047</v>
      </c>
      <c r="E2318" s="174"/>
      <c r="F2318" s="72" t="s">
        <v>213</v>
      </c>
      <c r="G2318" s="90">
        <v>106.2</v>
      </c>
      <c r="H2318" s="91"/>
      <c r="I2318" s="92" t="s">
        <v>63</v>
      </c>
      <c r="J2318" s="90">
        <f>G2318*AO2318</f>
        <v>0</v>
      </c>
      <c r="K2318" s="90">
        <f>G2318*AP2318</f>
        <v>0</v>
      </c>
      <c r="L2318" s="90">
        <f>G2318*H2318</f>
        <v>0</v>
      </c>
      <c r="M2318" s="90">
        <f>L2318*(1+BW2318/100)</f>
        <v>0</v>
      </c>
      <c r="N2318" s="90">
        <v>0</v>
      </c>
      <c r="O2318" s="90">
        <f>G2318*N2318</f>
        <v>0</v>
      </c>
      <c r="P2318" s="92" t="s">
        <v>64</v>
      </c>
      <c r="Z2318" s="93">
        <f>IF(AQ2318="5",BJ2318,0)</f>
        <v>0</v>
      </c>
      <c r="AB2318" s="93">
        <f>IF(AQ2318="1",BH2318,0)</f>
        <v>0</v>
      </c>
      <c r="AC2318" s="93">
        <f>IF(AQ2318="1",BI2318,0)</f>
        <v>0</v>
      </c>
      <c r="AD2318" s="93">
        <f>IF(AQ2318="7",BH2318,0)</f>
        <v>0</v>
      </c>
      <c r="AE2318" s="93">
        <f>IF(AQ2318="7",BI2318,0)</f>
        <v>0</v>
      </c>
      <c r="AF2318" s="93">
        <f>IF(AQ2318="2",BH2318,0)</f>
        <v>0</v>
      </c>
      <c r="AG2318" s="93">
        <f>IF(AQ2318="2",BI2318,0)</f>
        <v>0</v>
      </c>
      <c r="AH2318" s="93">
        <f>IF(AQ2318="0",BJ2318,0)</f>
        <v>0</v>
      </c>
      <c r="AI2318" s="88" t="s">
        <v>55</v>
      </c>
      <c r="AJ2318" s="93">
        <f>IF(AN2318=0,L2318,0)</f>
        <v>0</v>
      </c>
      <c r="AK2318" s="93">
        <f>IF(AN2318=12,L2318,0)</f>
        <v>0</v>
      </c>
      <c r="AL2318" s="93">
        <f>IF(AN2318=21,L2318,0)</f>
        <v>0</v>
      </c>
      <c r="AN2318" s="93">
        <v>21</v>
      </c>
      <c r="AO2318" s="93">
        <f>H2318*0.353992555</f>
        <v>0</v>
      </c>
      <c r="AP2318" s="93">
        <f>H2318*(1-0.353992555)</f>
        <v>0</v>
      </c>
      <c r="AQ2318" s="94" t="s">
        <v>148</v>
      </c>
      <c r="AV2318" s="93">
        <f>AW2318+AX2318</f>
        <v>0</v>
      </c>
      <c r="AW2318" s="93">
        <f>G2318*AO2318</f>
        <v>0</v>
      </c>
      <c r="AX2318" s="93">
        <f>G2318*AP2318</f>
        <v>0</v>
      </c>
      <c r="AY2318" s="94" t="s">
        <v>2926</v>
      </c>
      <c r="AZ2318" s="94" t="s">
        <v>2927</v>
      </c>
      <c r="BA2318" s="88" t="s">
        <v>67</v>
      </c>
      <c r="BC2318" s="93">
        <f>AW2318+AX2318</f>
        <v>0</v>
      </c>
      <c r="BD2318" s="93">
        <f>H2318/(100-BE2318)*100</f>
        <v>0</v>
      </c>
      <c r="BE2318" s="93">
        <v>0</v>
      </c>
      <c r="BF2318" s="93">
        <f>O2318</f>
        <v>0</v>
      </c>
      <c r="BH2318" s="93">
        <f>G2318*AO2318</f>
        <v>0</v>
      </c>
      <c r="BI2318" s="93">
        <f>G2318*AP2318</f>
        <v>0</v>
      </c>
      <c r="BJ2318" s="93">
        <f>G2318*H2318</f>
        <v>0</v>
      </c>
      <c r="BK2318" s="93"/>
      <c r="BL2318" s="93"/>
      <c r="BW2318" s="93" t="str">
        <f>I2318</f>
        <v>21</v>
      </c>
      <c r="BX2318" s="2" t="s">
        <v>3047</v>
      </c>
    </row>
    <row r="2319" spans="1:76" s="81" customFormat="1" ht="25.5" x14ac:dyDescent="0.25">
      <c r="A2319" s="66" t="s">
        <v>3059</v>
      </c>
      <c r="B2319" s="72" t="s">
        <v>55</v>
      </c>
      <c r="C2319" s="72" t="s">
        <v>3049</v>
      </c>
      <c r="D2319" s="174" t="s">
        <v>3050</v>
      </c>
      <c r="E2319" s="174"/>
      <c r="F2319" s="72" t="s">
        <v>213</v>
      </c>
      <c r="G2319" s="90">
        <v>100.2</v>
      </c>
      <c r="H2319" s="91"/>
      <c r="I2319" s="92" t="s">
        <v>63</v>
      </c>
      <c r="J2319" s="90">
        <f>G2319*AO2319</f>
        <v>0</v>
      </c>
      <c r="K2319" s="90">
        <f>G2319*AP2319</f>
        <v>0</v>
      </c>
      <c r="L2319" s="90">
        <f>G2319*H2319</f>
        <v>0</v>
      </c>
      <c r="M2319" s="90">
        <f>L2319*(1+BW2319/100)</f>
        <v>0</v>
      </c>
      <c r="N2319" s="90">
        <v>0</v>
      </c>
      <c r="O2319" s="90">
        <f>G2319*N2319</f>
        <v>0</v>
      </c>
      <c r="P2319" s="92" t="s">
        <v>64</v>
      </c>
      <c r="Z2319" s="93">
        <f>IF(AQ2319="5",BJ2319,0)</f>
        <v>0</v>
      </c>
      <c r="AB2319" s="93">
        <f>IF(AQ2319="1",BH2319,0)</f>
        <v>0</v>
      </c>
      <c r="AC2319" s="93">
        <f>IF(AQ2319="1",BI2319,0)</f>
        <v>0</v>
      </c>
      <c r="AD2319" s="93">
        <f>IF(AQ2319="7",BH2319,0)</f>
        <v>0</v>
      </c>
      <c r="AE2319" s="93">
        <f>IF(AQ2319="7",BI2319,0)</f>
        <v>0</v>
      </c>
      <c r="AF2319" s="93">
        <f>IF(AQ2319="2",BH2319,0)</f>
        <v>0</v>
      </c>
      <c r="AG2319" s="93">
        <f>IF(AQ2319="2",BI2319,0)</f>
        <v>0</v>
      </c>
      <c r="AH2319" s="93">
        <f>IF(AQ2319="0",BJ2319,0)</f>
        <v>0</v>
      </c>
      <c r="AI2319" s="88" t="s">
        <v>55</v>
      </c>
      <c r="AJ2319" s="93">
        <f>IF(AN2319=0,L2319,0)</f>
        <v>0</v>
      </c>
      <c r="AK2319" s="93">
        <f>IF(AN2319=12,L2319,0)</f>
        <v>0</v>
      </c>
      <c r="AL2319" s="93">
        <f>IF(AN2319=21,L2319,0)</f>
        <v>0</v>
      </c>
      <c r="AN2319" s="93">
        <v>21</v>
      </c>
      <c r="AO2319" s="93">
        <f>H2319*0.025107866</f>
        <v>0</v>
      </c>
      <c r="AP2319" s="93">
        <f>H2319*(1-0.025107866)</f>
        <v>0</v>
      </c>
      <c r="AQ2319" s="94" t="s">
        <v>148</v>
      </c>
      <c r="AV2319" s="93">
        <f>AW2319+AX2319</f>
        <v>0</v>
      </c>
      <c r="AW2319" s="93">
        <f>G2319*AO2319</f>
        <v>0</v>
      </c>
      <c r="AX2319" s="93">
        <f>G2319*AP2319</f>
        <v>0</v>
      </c>
      <c r="AY2319" s="94" t="s">
        <v>2926</v>
      </c>
      <c r="AZ2319" s="94" t="s">
        <v>2927</v>
      </c>
      <c r="BA2319" s="88" t="s">
        <v>67</v>
      </c>
      <c r="BC2319" s="93">
        <f>AW2319+AX2319</f>
        <v>0</v>
      </c>
      <c r="BD2319" s="93">
        <f>H2319/(100-BE2319)*100</f>
        <v>0</v>
      </c>
      <c r="BE2319" s="93">
        <v>0</v>
      </c>
      <c r="BF2319" s="93">
        <f>O2319</f>
        <v>0</v>
      </c>
      <c r="BH2319" s="93">
        <f>G2319*AO2319</f>
        <v>0</v>
      </c>
      <c r="BI2319" s="93">
        <f>G2319*AP2319</f>
        <v>0</v>
      </c>
      <c r="BJ2319" s="93">
        <f>G2319*H2319</f>
        <v>0</v>
      </c>
      <c r="BK2319" s="93"/>
      <c r="BL2319" s="93"/>
      <c r="BW2319" s="93" t="str">
        <f>I2319</f>
        <v>21</v>
      </c>
      <c r="BX2319" s="2" t="s">
        <v>3050</v>
      </c>
    </row>
    <row r="2320" spans="1:76" s="81" customFormat="1" ht="25.5" x14ac:dyDescent="0.25">
      <c r="A2320" s="66" t="s">
        <v>3060</v>
      </c>
      <c r="B2320" s="72" t="s">
        <v>55</v>
      </c>
      <c r="C2320" s="72" t="s">
        <v>3052</v>
      </c>
      <c r="D2320" s="174" t="s">
        <v>3053</v>
      </c>
      <c r="E2320" s="174"/>
      <c r="F2320" s="72" t="s">
        <v>203</v>
      </c>
      <c r="G2320" s="90">
        <v>1</v>
      </c>
      <c r="H2320" s="91"/>
      <c r="I2320" s="92" t="s">
        <v>63</v>
      </c>
      <c r="J2320" s="90">
        <f>G2320*AO2320</f>
        <v>0</v>
      </c>
      <c r="K2320" s="90">
        <f>G2320*AP2320</f>
        <v>0</v>
      </c>
      <c r="L2320" s="90">
        <f>G2320*H2320</f>
        <v>0</v>
      </c>
      <c r="M2320" s="90">
        <f>L2320*(1+BW2320/100)</f>
        <v>0</v>
      </c>
      <c r="N2320" s="90">
        <v>5.4710099999999997</v>
      </c>
      <c r="O2320" s="90">
        <f>G2320*N2320</f>
        <v>5.4710099999999997</v>
      </c>
      <c r="P2320" s="92" t="s">
        <v>64</v>
      </c>
      <c r="Z2320" s="93">
        <f>IF(AQ2320="5",BJ2320,0)</f>
        <v>0</v>
      </c>
      <c r="AB2320" s="93">
        <f>IF(AQ2320="1",BH2320,0)</f>
        <v>0</v>
      </c>
      <c r="AC2320" s="93">
        <f>IF(AQ2320="1",BI2320,0)</f>
        <v>0</v>
      </c>
      <c r="AD2320" s="93">
        <f>IF(AQ2320="7",BH2320,0)</f>
        <v>0</v>
      </c>
      <c r="AE2320" s="93">
        <f>IF(AQ2320="7",BI2320,0)</f>
        <v>0</v>
      </c>
      <c r="AF2320" s="93">
        <f>IF(AQ2320="2",BH2320,0)</f>
        <v>0</v>
      </c>
      <c r="AG2320" s="93">
        <f>IF(AQ2320="2",BI2320,0)</f>
        <v>0</v>
      </c>
      <c r="AH2320" s="93">
        <f>IF(AQ2320="0",BJ2320,0)</f>
        <v>0</v>
      </c>
      <c r="AI2320" s="88" t="s">
        <v>55</v>
      </c>
      <c r="AJ2320" s="93">
        <f>IF(AN2320=0,L2320,0)</f>
        <v>0</v>
      </c>
      <c r="AK2320" s="93">
        <f>IF(AN2320=12,L2320,0)</f>
        <v>0</v>
      </c>
      <c r="AL2320" s="93">
        <f>IF(AN2320=21,L2320,0)</f>
        <v>0</v>
      </c>
      <c r="AN2320" s="93">
        <v>21</v>
      </c>
      <c r="AO2320" s="93">
        <f>H2320*0.818328213</f>
        <v>0</v>
      </c>
      <c r="AP2320" s="93">
        <f>H2320*(1-0.818328213)</f>
        <v>0</v>
      </c>
      <c r="AQ2320" s="94" t="s">
        <v>148</v>
      </c>
      <c r="AV2320" s="93">
        <f>AW2320+AX2320</f>
        <v>0</v>
      </c>
      <c r="AW2320" s="93">
        <f>G2320*AO2320</f>
        <v>0</v>
      </c>
      <c r="AX2320" s="93">
        <f>G2320*AP2320</f>
        <v>0</v>
      </c>
      <c r="AY2320" s="94" t="s">
        <v>2926</v>
      </c>
      <c r="AZ2320" s="94" t="s">
        <v>2927</v>
      </c>
      <c r="BA2320" s="88" t="s">
        <v>67</v>
      </c>
      <c r="BC2320" s="93">
        <f>AW2320+AX2320</f>
        <v>0</v>
      </c>
      <c r="BD2320" s="93">
        <f>H2320/(100-BE2320)*100</f>
        <v>0</v>
      </c>
      <c r="BE2320" s="93">
        <v>0</v>
      </c>
      <c r="BF2320" s="93">
        <f>O2320</f>
        <v>5.4710099999999997</v>
      </c>
      <c r="BH2320" s="93">
        <f>G2320*AO2320</f>
        <v>0</v>
      </c>
      <c r="BI2320" s="93">
        <f>G2320*AP2320</f>
        <v>0</v>
      </c>
      <c r="BJ2320" s="93">
        <f>G2320*H2320</f>
        <v>0</v>
      </c>
      <c r="BK2320" s="93"/>
      <c r="BL2320" s="93"/>
      <c r="BW2320" s="93" t="str">
        <f>I2320</f>
        <v>21</v>
      </c>
      <c r="BX2320" s="2" t="s">
        <v>3053</v>
      </c>
    </row>
    <row r="2321" spans="1:76" s="81" customFormat="1" ht="13.5" customHeight="1" x14ac:dyDescent="0.25">
      <c r="A2321" s="110"/>
      <c r="B2321" s="95"/>
      <c r="C2321" s="95"/>
      <c r="D2321" s="179" t="s">
        <v>3054</v>
      </c>
      <c r="E2321" s="179"/>
      <c r="F2321" s="179"/>
      <c r="G2321" s="179"/>
      <c r="H2321" s="179"/>
      <c r="I2321" s="179"/>
      <c r="J2321" s="179"/>
      <c r="K2321" s="179"/>
      <c r="L2321" s="179"/>
      <c r="M2321" s="179"/>
      <c r="N2321" s="179"/>
      <c r="O2321" s="179"/>
      <c r="P2321" s="179"/>
    </row>
    <row r="2322" spans="1:76" s="81" customFormat="1" ht="25.5" x14ac:dyDescent="0.25">
      <c r="A2322" s="66" t="s">
        <v>3063</v>
      </c>
      <c r="B2322" s="72" t="s">
        <v>55</v>
      </c>
      <c r="C2322" s="72" t="s">
        <v>3056</v>
      </c>
      <c r="D2322" s="174" t="s">
        <v>3057</v>
      </c>
      <c r="E2322" s="174"/>
      <c r="F2322" s="72" t="s">
        <v>203</v>
      </c>
      <c r="G2322" s="90">
        <v>1</v>
      </c>
      <c r="H2322" s="91"/>
      <c r="I2322" s="92" t="s">
        <v>63</v>
      </c>
      <c r="J2322" s="90">
        <f>G2322*AO2322</f>
        <v>0</v>
      </c>
      <c r="K2322" s="90">
        <f>G2322*AP2322</f>
        <v>0</v>
      </c>
      <c r="L2322" s="90">
        <f>G2322*H2322</f>
        <v>0</v>
      </c>
      <c r="M2322" s="90">
        <f>L2322*(1+BW2322/100)</f>
        <v>0</v>
      </c>
      <c r="N2322" s="90">
        <v>4.7317099999999996</v>
      </c>
      <c r="O2322" s="90">
        <f>G2322*N2322</f>
        <v>4.7317099999999996</v>
      </c>
      <c r="P2322" s="92" t="s">
        <v>64</v>
      </c>
      <c r="Z2322" s="93">
        <f>IF(AQ2322="5",BJ2322,0)</f>
        <v>0</v>
      </c>
      <c r="AB2322" s="93">
        <f>IF(AQ2322="1",BH2322,0)</f>
        <v>0</v>
      </c>
      <c r="AC2322" s="93">
        <f>IF(AQ2322="1",BI2322,0)</f>
        <v>0</v>
      </c>
      <c r="AD2322" s="93">
        <f>IF(AQ2322="7",BH2322,0)</f>
        <v>0</v>
      </c>
      <c r="AE2322" s="93">
        <f>IF(AQ2322="7",BI2322,0)</f>
        <v>0</v>
      </c>
      <c r="AF2322" s="93">
        <f>IF(AQ2322="2",BH2322,0)</f>
        <v>0</v>
      </c>
      <c r="AG2322" s="93">
        <f>IF(AQ2322="2",BI2322,0)</f>
        <v>0</v>
      </c>
      <c r="AH2322" s="93">
        <f>IF(AQ2322="0",BJ2322,0)</f>
        <v>0</v>
      </c>
      <c r="AI2322" s="88" t="s">
        <v>55</v>
      </c>
      <c r="AJ2322" s="93">
        <f>IF(AN2322=0,L2322,0)</f>
        <v>0</v>
      </c>
      <c r="AK2322" s="93">
        <f>IF(AN2322=12,L2322,0)</f>
        <v>0</v>
      </c>
      <c r="AL2322" s="93">
        <f>IF(AN2322=21,L2322,0)</f>
        <v>0</v>
      </c>
      <c r="AN2322" s="93">
        <v>21</v>
      </c>
      <c r="AO2322" s="93">
        <f>H2322*0.820603951</f>
        <v>0</v>
      </c>
      <c r="AP2322" s="93">
        <f>H2322*(1-0.820603951)</f>
        <v>0</v>
      </c>
      <c r="AQ2322" s="94" t="s">
        <v>148</v>
      </c>
      <c r="AV2322" s="93">
        <f>AW2322+AX2322</f>
        <v>0</v>
      </c>
      <c r="AW2322" s="93">
        <f>G2322*AO2322</f>
        <v>0</v>
      </c>
      <c r="AX2322" s="93">
        <f>G2322*AP2322</f>
        <v>0</v>
      </c>
      <c r="AY2322" s="94" t="s">
        <v>2926</v>
      </c>
      <c r="AZ2322" s="94" t="s">
        <v>2927</v>
      </c>
      <c r="BA2322" s="88" t="s">
        <v>67</v>
      </c>
      <c r="BC2322" s="93">
        <f>AW2322+AX2322</f>
        <v>0</v>
      </c>
      <c r="BD2322" s="93">
        <f>H2322/(100-BE2322)*100</f>
        <v>0</v>
      </c>
      <c r="BE2322" s="93">
        <v>0</v>
      </c>
      <c r="BF2322" s="93">
        <f>O2322</f>
        <v>4.7317099999999996</v>
      </c>
      <c r="BH2322" s="93">
        <f>G2322*AO2322</f>
        <v>0</v>
      </c>
      <c r="BI2322" s="93">
        <f>G2322*AP2322</f>
        <v>0</v>
      </c>
      <c r="BJ2322" s="93">
        <f>G2322*H2322</f>
        <v>0</v>
      </c>
      <c r="BK2322" s="93"/>
      <c r="BL2322" s="93"/>
      <c r="BW2322" s="93" t="str">
        <f>I2322</f>
        <v>21</v>
      </c>
      <c r="BX2322" s="2" t="s">
        <v>3057</v>
      </c>
    </row>
    <row r="2323" spans="1:76" s="81" customFormat="1" ht="13.5" customHeight="1" x14ac:dyDescent="0.25">
      <c r="A2323" s="110"/>
      <c r="B2323" s="95"/>
      <c r="C2323" s="95"/>
      <c r="D2323" s="179" t="s">
        <v>3058</v>
      </c>
      <c r="E2323" s="179"/>
      <c r="F2323" s="179"/>
      <c r="G2323" s="179"/>
      <c r="H2323" s="179"/>
      <c r="I2323" s="179"/>
      <c r="J2323" s="179"/>
      <c r="K2323" s="179"/>
      <c r="L2323" s="179"/>
      <c r="M2323" s="179"/>
      <c r="N2323" s="179"/>
      <c r="O2323" s="179"/>
      <c r="P2323" s="179"/>
    </row>
    <row r="2324" spans="1:76" s="81" customFormat="1" ht="25.5" x14ac:dyDescent="0.25">
      <c r="A2324" s="66" t="s">
        <v>3067</v>
      </c>
      <c r="B2324" s="72" t="s">
        <v>55</v>
      </c>
      <c r="C2324" s="72" t="s">
        <v>3056</v>
      </c>
      <c r="D2324" s="174" t="s">
        <v>3057</v>
      </c>
      <c r="E2324" s="174"/>
      <c r="F2324" s="72" t="s">
        <v>203</v>
      </c>
      <c r="G2324" s="90">
        <v>1</v>
      </c>
      <c r="H2324" s="91"/>
      <c r="I2324" s="92" t="s">
        <v>63</v>
      </c>
      <c r="J2324" s="90">
        <f>G2324*AO2324</f>
        <v>0</v>
      </c>
      <c r="K2324" s="90">
        <f>G2324*AP2324</f>
        <v>0</v>
      </c>
      <c r="L2324" s="90">
        <f>G2324*H2324</f>
        <v>0</v>
      </c>
      <c r="M2324" s="90">
        <f>L2324*(1+BW2324/100)</f>
        <v>0</v>
      </c>
      <c r="N2324" s="90">
        <v>4.7317099999999996</v>
      </c>
      <c r="O2324" s="90">
        <f>G2324*N2324</f>
        <v>4.7317099999999996</v>
      </c>
      <c r="P2324" s="92" t="s">
        <v>64</v>
      </c>
      <c r="Z2324" s="93">
        <f>IF(AQ2324="5",BJ2324,0)</f>
        <v>0</v>
      </c>
      <c r="AB2324" s="93">
        <f>IF(AQ2324="1",BH2324,0)</f>
        <v>0</v>
      </c>
      <c r="AC2324" s="93">
        <f>IF(AQ2324="1",BI2324,0)</f>
        <v>0</v>
      </c>
      <c r="AD2324" s="93">
        <f>IF(AQ2324="7",BH2324,0)</f>
        <v>0</v>
      </c>
      <c r="AE2324" s="93">
        <f>IF(AQ2324="7",BI2324,0)</f>
        <v>0</v>
      </c>
      <c r="AF2324" s="93">
        <f>IF(AQ2324="2",BH2324,0)</f>
        <v>0</v>
      </c>
      <c r="AG2324" s="93">
        <f>IF(AQ2324="2",BI2324,0)</f>
        <v>0</v>
      </c>
      <c r="AH2324" s="93">
        <f>IF(AQ2324="0",BJ2324,0)</f>
        <v>0</v>
      </c>
      <c r="AI2324" s="88" t="s">
        <v>55</v>
      </c>
      <c r="AJ2324" s="93">
        <f>IF(AN2324=0,L2324,0)</f>
        <v>0</v>
      </c>
      <c r="AK2324" s="93">
        <f>IF(AN2324=12,L2324,0)</f>
        <v>0</v>
      </c>
      <c r="AL2324" s="93">
        <f>IF(AN2324=21,L2324,0)</f>
        <v>0</v>
      </c>
      <c r="AN2324" s="93">
        <v>21</v>
      </c>
      <c r="AO2324" s="93">
        <f>H2324*0.820603951</f>
        <v>0</v>
      </c>
      <c r="AP2324" s="93">
        <f>H2324*(1-0.820603951)</f>
        <v>0</v>
      </c>
      <c r="AQ2324" s="94" t="s">
        <v>148</v>
      </c>
      <c r="AV2324" s="93">
        <f>AW2324+AX2324</f>
        <v>0</v>
      </c>
      <c r="AW2324" s="93">
        <f>G2324*AO2324</f>
        <v>0</v>
      </c>
      <c r="AX2324" s="93">
        <f>G2324*AP2324</f>
        <v>0</v>
      </c>
      <c r="AY2324" s="94" t="s">
        <v>2926</v>
      </c>
      <c r="AZ2324" s="94" t="s">
        <v>2927</v>
      </c>
      <c r="BA2324" s="88" t="s">
        <v>67</v>
      </c>
      <c r="BC2324" s="93">
        <f>AW2324+AX2324</f>
        <v>0</v>
      </c>
      <c r="BD2324" s="93">
        <f>H2324/(100-BE2324)*100</f>
        <v>0</v>
      </c>
      <c r="BE2324" s="93">
        <v>0</v>
      </c>
      <c r="BF2324" s="93">
        <f>O2324</f>
        <v>4.7317099999999996</v>
      </c>
      <c r="BH2324" s="93">
        <f>G2324*AO2324</f>
        <v>0</v>
      </c>
      <c r="BI2324" s="93">
        <f>G2324*AP2324</f>
        <v>0</v>
      </c>
      <c r="BJ2324" s="93">
        <f>G2324*H2324</f>
        <v>0</v>
      </c>
      <c r="BK2324" s="93"/>
      <c r="BL2324" s="93"/>
      <c r="BW2324" s="93" t="str">
        <f>I2324</f>
        <v>21</v>
      </c>
      <c r="BX2324" s="2" t="s">
        <v>3057</v>
      </c>
    </row>
    <row r="2325" spans="1:76" s="81" customFormat="1" ht="13.5" customHeight="1" x14ac:dyDescent="0.25">
      <c r="A2325" s="110"/>
      <c r="B2325" s="95"/>
      <c r="C2325" s="95"/>
      <c r="D2325" s="179" t="s">
        <v>3058</v>
      </c>
      <c r="E2325" s="179"/>
      <c r="F2325" s="179"/>
      <c r="G2325" s="179"/>
      <c r="H2325" s="179"/>
      <c r="I2325" s="179"/>
      <c r="J2325" s="179"/>
      <c r="K2325" s="179"/>
      <c r="L2325" s="179"/>
      <c r="M2325" s="179"/>
      <c r="N2325" s="179"/>
      <c r="O2325" s="179"/>
      <c r="P2325" s="179"/>
    </row>
    <row r="2326" spans="1:76" s="81" customFormat="1" ht="25.5" x14ac:dyDescent="0.25">
      <c r="A2326" s="66" t="s">
        <v>3070</v>
      </c>
      <c r="B2326" s="72" t="s">
        <v>55</v>
      </c>
      <c r="C2326" s="72" t="s">
        <v>3061</v>
      </c>
      <c r="D2326" s="174" t="s">
        <v>3053</v>
      </c>
      <c r="E2326" s="174"/>
      <c r="F2326" s="72" t="s">
        <v>203</v>
      </c>
      <c r="G2326" s="90">
        <v>1</v>
      </c>
      <c r="H2326" s="91"/>
      <c r="I2326" s="92" t="s">
        <v>63</v>
      </c>
      <c r="J2326" s="90">
        <f>G2326*AO2326</f>
        <v>0</v>
      </c>
      <c r="K2326" s="90">
        <f>G2326*AP2326</f>
        <v>0</v>
      </c>
      <c r="L2326" s="90">
        <f>G2326*H2326</f>
        <v>0</v>
      </c>
      <c r="M2326" s="90">
        <f>L2326*(1+BW2326/100)</f>
        <v>0</v>
      </c>
      <c r="N2326" s="90">
        <v>3.7197100000000001</v>
      </c>
      <c r="O2326" s="90">
        <f>G2326*N2326</f>
        <v>3.7197100000000001</v>
      </c>
      <c r="P2326" s="92" t="s">
        <v>64</v>
      </c>
      <c r="Z2326" s="93">
        <f>IF(AQ2326="5",BJ2326,0)</f>
        <v>0</v>
      </c>
      <c r="AB2326" s="93">
        <f>IF(AQ2326="1",BH2326,0)</f>
        <v>0</v>
      </c>
      <c r="AC2326" s="93">
        <f>IF(AQ2326="1",BI2326,0)</f>
        <v>0</v>
      </c>
      <c r="AD2326" s="93">
        <f>IF(AQ2326="7",BH2326,0)</f>
        <v>0</v>
      </c>
      <c r="AE2326" s="93">
        <f>IF(AQ2326="7",BI2326,0)</f>
        <v>0</v>
      </c>
      <c r="AF2326" s="93">
        <f>IF(AQ2326="2",BH2326,0)</f>
        <v>0</v>
      </c>
      <c r="AG2326" s="93">
        <f>IF(AQ2326="2",BI2326,0)</f>
        <v>0</v>
      </c>
      <c r="AH2326" s="93">
        <f>IF(AQ2326="0",BJ2326,0)</f>
        <v>0</v>
      </c>
      <c r="AI2326" s="88" t="s">
        <v>55</v>
      </c>
      <c r="AJ2326" s="93">
        <f>IF(AN2326=0,L2326,0)</f>
        <v>0</v>
      </c>
      <c r="AK2326" s="93">
        <f>IF(AN2326=12,L2326,0)</f>
        <v>0</v>
      </c>
      <c r="AL2326" s="93">
        <f>IF(AN2326=21,L2326,0)</f>
        <v>0</v>
      </c>
      <c r="AN2326" s="93">
        <v>21</v>
      </c>
      <c r="AO2326" s="93">
        <f>H2326*0.817699021</f>
        <v>0</v>
      </c>
      <c r="AP2326" s="93">
        <f>H2326*(1-0.817699021)</f>
        <v>0</v>
      </c>
      <c r="AQ2326" s="94" t="s">
        <v>148</v>
      </c>
      <c r="AV2326" s="93">
        <f>AW2326+AX2326</f>
        <v>0</v>
      </c>
      <c r="AW2326" s="93">
        <f>G2326*AO2326</f>
        <v>0</v>
      </c>
      <c r="AX2326" s="93">
        <f>G2326*AP2326</f>
        <v>0</v>
      </c>
      <c r="AY2326" s="94" t="s">
        <v>2926</v>
      </c>
      <c r="AZ2326" s="94" t="s">
        <v>2927</v>
      </c>
      <c r="BA2326" s="88" t="s">
        <v>67</v>
      </c>
      <c r="BC2326" s="93">
        <f>AW2326+AX2326</f>
        <v>0</v>
      </c>
      <c r="BD2326" s="93">
        <f>H2326/(100-BE2326)*100</f>
        <v>0</v>
      </c>
      <c r="BE2326" s="93">
        <v>0</v>
      </c>
      <c r="BF2326" s="93">
        <f>O2326</f>
        <v>3.7197100000000001</v>
      </c>
      <c r="BH2326" s="93">
        <f>G2326*AO2326</f>
        <v>0</v>
      </c>
      <c r="BI2326" s="93">
        <f>G2326*AP2326</f>
        <v>0</v>
      </c>
      <c r="BJ2326" s="93">
        <f>G2326*H2326</f>
        <v>0</v>
      </c>
      <c r="BK2326" s="93"/>
      <c r="BL2326" s="93"/>
      <c r="BW2326" s="93" t="str">
        <f>I2326</f>
        <v>21</v>
      </c>
      <c r="BX2326" s="2" t="s">
        <v>3053</v>
      </c>
    </row>
    <row r="2327" spans="1:76" s="81" customFormat="1" ht="13.5" customHeight="1" x14ac:dyDescent="0.25">
      <c r="A2327" s="110"/>
      <c r="B2327" s="95"/>
      <c r="C2327" s="95"/>
      <c r="D2327" s="179" t="s">
        <v>3062</v>
      </c>
      <c r="E2327" s="179"/>
      <c r="F2327" s="179"/>
      <c r="G2327" s="179"/>
      <c r="H2327" s="179"/>
      <c r="I2327" s="179"/>
      <c r="J2327" s="179"/>
      <c r="K2327" s="179"/>
      <c r="L2327" s="179"/>
      <c r="M2327" s="179"/>
      <c r="N2327" s="179"/>
      <c r="O2327" s="179"/>
      <c r="P2327" s="179"/>
    </row>
    <row r="2328" spans="1:76" s="81" customFormat="1" ht="25.5" x14ac:dyDescent="0.25">
      <c r="A2328" s="66" t="s">
        <v>3073</v>
      </c>
      <c r="B2328" s="72" t="s">
        <v>55</v>
      </c>
      <c r="C2328" s="72" t="s">
        <v>3064</v>
      </c>
      <c r="D2328" s="174" t="s">
        <v>3065</v>
      </c>
      <c r="E2328" s="174"/>
      <c r="F2328" s="72" t="s">
        <v>203</v>
      </c>
      <c r="G2328" s="90">
        <v>2</v>
      </c>
      <c r="H2328" s="91"/>
      <c r="I2328" s="92" t="s">
        <v>63</v>
      </c>
      <c r="J2328" s="90">
        <f>G2328*AO2328</f>
        <v>0</v>
      </c>
      <c r="K2328" s="90">
        <f>G2328*AP2328</f>
        <v>0</v>
      </c>
      <c r="L2328" s="90">
        <f>G2328*H2328</f>
        <v>0</v>
      </c>
      <c r="M2328" s="90">
        <f>L2328*(1+BW2328/100)</f>
        <v>0</v>
      </c>
      <c r="N2328" s="90">
        <v>3.6587100000000001</v>
      </c>
      <c r="O2328" s="90">
        <f>G2328*N2328</f>
        <v>7.3174200000000003</v>
      </c>
      <c r="P2328" s="92" t="s">
        <v>64</v>
      </c>
      <c r="Z2328" s="93">
        <f>IF(AQ2328="5",BJ2328,0)</f>
        <v>0</v>
      </c>
      <c r="AB2328" s="93">
        <f>IF(AQ2328="1",BH2328,0)</f>
        <v>0</v>
      </c>
      <c r="AC2328" s="93">
        <f>IF(AQ2328="1",BI2328,0)</f>
        <v>0</v>
      </c>
      <c r="AD2328" s="93">
        <f>IF(AQ2328="7",BH2328,0)</f>
        <v>0</v>
      </c>
      <c r="AE2328" s="93">
        <f>IF(AQ2328="7",BI2328,0)</f>
        <v>0</v>
      </c>
      <c r="AF2328" s="93">
        <f>IF(AQ2328="2",BH2328,0)</f>
        <v>0</v>
      </c>
      <c r="AG2328" s="93">
        <f>IF(AQ2328="2",BI2328,0)</f>
        <v>0</v>
      </c>
      <c r="AH2328" s="93">
        <f>IF(AQ2328="0",BJ2328,0)</f>
        <v>0</v>
      </c>
      <c r="AI2328" s="88" t="s">
        <v>55</v>
      </c>
      <c r="AJ2328" s="93">
        <f>IF(AN2328=0,L2328,0)</f>
        <v>0</v>
      </c>
      <c r="AK2328" s="93">
        <f>IF(AN2328=12,L2328,0)</f>
        <v>0</v>
      </c>
      <c r="AL2328" s="93">
        <f>IF(AN2328=21,L2328,0)</f>
        <v>0</v>
      </c>
      <c r="AN2328" s="93">
        <v>21</v>
      </c>
      <c r="AO2328" s="93">
        <f>H2328*0.814036628</f>
        <v>0</v>
      </c>
      <c r="AP2328" s="93">
        <f>H2328*(1-0.814036628)</f>
        <v>0</v>
      </c>
      <c r="AQ2328" s="94" t="s">
        <v>148</v>
      </c>
      <c r="AV2328" s="93">
        <f>AW2328+AX2328</f>
        <v>0</v>
      </c>
      <c r="AW2328" s="93">
        <f>G2328*AO2328</f>
        <v>0</v>
      </c>
      <c r="AX2328" s="93">
        <f>G2328*AP2328</f>
        <v>0</v>
      </c>
      <c r="AY2328" s="94" t="s">
        <v>2926</v>
      </c>
      <c r="AZ2328" s="94" t="s">
        <v>2927</v>
      </c>
      <c r="BA2328" s="88" t="s">
        <v>67</v>
      </c>
      <c r="BC2328" s="93">
        <f>AW2328+AX2328</f>
        <v>0</v>
      </c>
      <c r="BD2328" s="93">
        <f>H2328/(100-BE2328)*100</f>
        <v>0</v>
      </c>
      <c r="BE2328" s="93">
        <v>0</v>
      </c>
      <c r="BF2328" s="93">
        <f>O2328</f>
        <v>7.3174200000000003</v>
      </c>
      <c r="BH2328" s="93">
        <f>G2328*AO2328</f>
        <v>0</v>
      </c>
      <c r="BI2328" s="93">
        <f>G2328*AP2328</f>
        <v>0</v>
      </c>
      <c r="BJ2328" s="93">
        <f>G2328*H2328</f>
        <v>0</v>
      </c>
      <c r="BK2328" s="93"/>
      <c r="BL2328" s="93"/>
      <c r="BW2328" s="93" t="str">
        <f>I2328</f>
        <v>21</v>
      </c>
      <c r="BX2328" s="2" t="s">
        <v>3065</v>
      </c>
    </row>
    <row r="2329" spans="1:76" s="81" customFormat="1" ht="13.5" customHeight="1" x14ac:dyDescent="0.25">
      <c r="A2329" s="110"/>
      <c r="B2329" s="95"/>
      <c r="C2329" s="95"/>
      <c r="D2329" s="179" t="s">
        <v>3066</v>
      </c>
      <c r="E2329" s="179"/>
      <c r="F2329" s="179"/>
      <c r="G2329" s="179"/>
      <c r="H2329" s="179"/>
      <c r="I2329" s="179"/>
      <c r="J2329" s="179"/>
      <c r="K2329" s="179"/>
      <c r="L2329" s="179"/>
      <c r="M2329" s="179"/>
      <c r="N2329" s="179"/>
      <c r="O2329" s="179"/>
      <c r="P2329" s="179"/>
    </row>
    <row r="2330" spans="1:76" s="81" customFormat="1" ht="25.5" x14ac:dyDescent="0.25">
      <c r="A2330" s="66" t="s">
        <v>3076</v>
      </c>
      <c r="B2330" s="72" t="s">
        <v>55</v>
      </c>
      <c r="C2330" s="72" t="s">
        <v>3068</v>
      </c>
      <c r="D2330" s="174" t="s">
        <v>3069</v>
      </c>
      <c r="E2330" s="174"/>
      <c r="F2330" s="72" t="s">
        <v>203</v>
      </c>
      <c r="G2330" s="90">
        <v>1</v>
      </c>
      <c r="H2330" s="91"/>
      <c r="I2330" s="92" t="s">
        <v>63</v>
      </c>
      <c r="J2330" s="90">
        <f>G2330*AO2330</f>
        <v>0</v>
      </c>
      <c r="K2330" s="90">
        <f>G2330*AP2330</f>
        <v>0</v>
      </c>
      <c r="L2330" s="90">
        <f>G2330*H2330</f>
        <v>0</v>
      </c>
      <c r="M2330" s="90">
        <f>L2330*(1+BW2330/100)</f>
        <v>0</v>
      </c>
      <c r="N2330" s="90">
        <v>4.9889900000000003</v>
      </c>
      <c r="O2330" s="90">
        <f>G2330*N2330</f>
        <v>4.9889900000000003</v>
      </c>
      <c r="P2330" s="92" t="s">
        <v>64</v>
      </c>
      <c r="Z2330" s="93">
        <f>IF(AQ2330="5",BJ2330,0)</f>
        <v>0</v>
      </c>
      <c r="AB2330" s="93">
        <f>IF(AQ2330="1",BH2330,0)</f>
        <v>0</v>
      </c>
      <c r="AC2330" s="93">
        <f>IF(AQ2330="1",BI2330,0)</f>
        <v>0</v>
      </c>
      <c r="AD2330" s="93">
        <f>IF(AQ2330="7",BH2330,0)</f>
        <v>0</v>
      </c>
      <c r="AE2330" s="93">
        <f>IF(AQ2330="7",BI2330,0)</f>
        <v>0</v>
      </c>
      <c r="AF2330" s="93">
        <f>IF(AQ2330="2",BH2330,0)</f>
        <v>0</v>
      </c>
      <c r="AG2330" s="93">
        <f>IF(AQ2330="2",BI2330,0)</f>
        <v>0</v>
      </c>
      <c r="AH2330" s="93">
        <f>IF(AQ2330="0",BJ2330,0)</f>
        <v>0</v>
      </c>
      <c r="AI2330" s="88" t="s">
        <v>55</v>
      </c>
      <c r="AJ2330" s="93">
        <f>IF(AN2330=0,L2330,0)</f>
        <v>0</v>
      </c>
      <c r="AK2330" s="93">
        <f>IF(AN2330=12,L2330,0)</f>
        <v>0</v>
      </c>
      <c r="AL2330" s="93">
        <f>IF(AN2330=21,L2330,0)</f>
        <v>0</v>
      </c>
      <c r="AN2330" s="93">
        <v>21</v>
      </c>
      <c r="AO2330" s="93">
        <f>H2330*0.303116229</f>
        <v>0</v>
      </c>
      <c r="AP2330" s="93">
        <f>H2330*(1-0.303116229)</f>
        <v>0</v>
      </c>
      <c r="AQ2330" s="94" t="s">
        <v>148</v>
      </c>
      <c r="AV2330" s="93">
        <f>AW2330+AX2330</f>
        <v>0</v>
      </c>
      <c r="AW2330" s="93">
        <f>G2330*AO2330</f>
        <v>0</v>
      </c>
      <c r="AX2330" s="93">
        <f>G2330*AP2330</f>
        <v>0</v>
      </c>
      <c r="AY2330" s="94" t="s">
        <v>2926</v>
      </c>
      <c r="AZ2330" s="94" t="s">
        <v>2927</v>
      </c>
      <c r="BA2330" s="88" t="s">
        <v>67</v>
      </c>
      <c r="BC2330" s="93">
        <f>AW2330+AX2330</f>
        <v>0</v>
      </c>
      <c r="BD2330" s="93">
        <f>H2330/(100-BE2330)*100</f>
        <v>0</v>
      </c>
      <c r="BE2330" s="93">
        <v>0</v>
      </c>
      <c r="BF2330" s="93">
        <f>O2330</f>
        <v>4.9889900000000003</v>
      </c>
      <c r="BH2330" s="93">
        <f>G2330*AO2330</f>
        <v>0</v>
      </c>
      <c r="BI2330" s="93">
        <f>G2330*AP2330</f>
        <v>0</v>
      </c>
      <c r="BJ2330" s="93">
        <f>G2330*H2330</f>
        <v>0</v>
      </c>
      <c r="BK2330" s="93"/>
      <c r="BL2330" s="93"/>
      <c r="BW2330" s="93" t="str">
        <f>I2330</f>
        <v>21</v>
      </c>
      <c r="BX2330" s="2" t="s">
        <v>3069</v>
      </c>
    </row>
    <row r="2331" spans="1:76" s="81" customFormat="1" ht="25.5" x14ac:dyDescent="0.25">
      <c r="A2331" s="66" t="s">
        <v>3079</v>
      </c>
      <c r="B2331" s="72" t="s">
        <v>55</v>
      </c>
      <c r="C2331" s="72" t="s">
        <v>3071</v>
      </c>
      <c r="D2331" s="174" t="s">
        <v>3072</v>
      </c>
      <c r="E2331" s="174"/>
      <c r="F2331" s="72" t="s">
        <v>203</v>
      </c>
      <c r="G2331" s="90">
        <v>1</v>
      </c>
      <c r="H2331" s="91"/>
      <c r="I2331" s="92" t="s">
        <v>63</v>
      </c>
      <c r="J2331" s="90">
        <f>G2331*AO2331</f>
        <v>0</v>
      </c>
      <c r="K2331" s="90">
        <f>G2331*AP2331</f>
        <v>0</v>
      </c>
      <c r="L2331" s="90">
        <f>G2331*H2331</f>
        <v>0</v>
      </c>
      <c r="M2331" s="90">
        <f>L2331*(1+BW2331/100)</f>
        <v>0</v>
      </c>
      <c r="N2331" s="90">
        <v>5.1120000000000001</v>
      </c>
      <c r="O2331" s="90">
        <f>G2331*N2331</f>
        <v>5.1120000000000001</v>
      </c>
      <c r="P2331" s="92" t="s">
        <v>64</v>
      </c>
      <c r="Z2331" s="93">
        <f>IF(AQ2331="5",BJ2331,0)</f>
        <v>0</v>
      </c>
      <c r="AB2331" s="93">
        <f>IF(AQ2331="1",BH2331,0)</f>
        <v>0</v>
      </c>
      <c r="AC2331" s="93">
        <f>IF(AQ2331="1",BI2331,0)</f>
        <v>0</v>
      </c>
      <c r="AD2331" s="93">
        <f>IF(AQ2331="7",BH2331,0)</f>
        <v>0</v>
      </c>
      <c r="AE2331" s="93">
        <f>IF(AQ2331="7",BI2331,0)</f>
        <v>0</v>
      </c>
      <c r="AF2331" s="93">
        <f>IF(AQ2331="2",BH2331,0)</f>
        <v>0</v>
      </c>
      <c r="AG2331" s="93">
        <f>IF(AQ2331="2",BI2331,0)</f>
        <v>0</v>
      </c>
      <c r="AH2331" s="93">
        <f>IF(AQ2331="0",BJ2331,0)</f>
        <v>0</v>
      </c>
      <c r="AI2331" s="88" t="s">
        <v>55</v>
      </c>
      <c r="AJ2331" s="93">
        <f>IF(AN2331=0,L2331,0)</f>
        <v>0</v>
      </c>
      <c r="AK2331" s="93">
        <f>IF(AN2331=12,L2331,0)</f>
        <v>0</v>
      </c>
      <c r="AL2331" s="93">
        <f>IF(AN2331=21,L2331,0)</f>
        <v>0</v>
      </c>
      <c r="AN2331" s="93">
        <v>21</v>
      </c>
      <c r="AO2331" s="93">
        <f>H2331*0.319855713</f>
        <v>0</v>
      </c>
      <c r="AP2331" s="93">
        <f>H2331*(1-0.319855713)</f>
        <v>0</v>
      </c>
      <c r="AQ2331" s="94" t="s">
        <v>148</v>
      </c>
      <c r="AV2331" s="93">
        <f>AW2331+AX2331</f>
        <v>0</v>
      </c>
      <c r="AW2331" s="93">
        <f>G2331*AO2331</f>
        <v>0</v>
      </c>
      <c r="AX2331" s="93">
        <f>G2331*AP2331</f>
        <v>0</v>
      </c>
      <c r="AY2331" s="94" t="s">
        <v>2926</v>
      </c>
      <c r="AZ2331" s="94" t="s">
        <v>2927</v>
      </c>
      <c r="BA2331" s="88" t="s">
        <v>67</v>
      </c>
      <c r="BC2331" s="93">
        <f>AW2331+AX2331</f>
        <v>0</v>
      </c>
      <c r="BD2331" s="93">
        <f>H2331/(100-BE2331)*100</f>
        <v>0</v>
      </c>
      <c r="BE2331" s="93">
        <v>0</v>
      </c>
      <c r="BF2331" s="93">
        <f>O2331</f>
        <v>5.1120000000000001</v>
      </c>
      <c r="BH2331" s="93">
        <f>G2331*AO2331</f>
        <v>0</v>
      </c>
      <c r="BI2331" s="93">
        <f>G2331*AP2331</f>
        <v>0</v>
      </c>
      <c r="BJ2331" s="93">
        <f>G2331*H2331</f>
        <v>0</v>
      </c>
      <c r="BK2331" s="93"/>
      <c r="BL2331" s="93"/>
      <c r="BW2331" s="93" t="str">
        <f>I2331</f>
        <v>21</v>
      </c>
      <c r="BX2331" s="2" t="s">
        <v>3072</v>
      </c>
    </row>
    <row r="2332" spans="1:76" s="81" customFormat="1" ht="25.5" x14ac:dyDescent="0.25">
      <c r="A2332" s="66" t="s">
        <v>3083</v>
      </c>
      <c r="B2332" s="72" t="s">
        <v>55</v>
      </c>
      <c r="C2332" s="72" t="s">
        <v>3074</v>
      </c>
      <c r="D2332" s="174" t="s">
        <v>3075</v>
      </c>
      <c r="E2332" s="174"/>
      <c r="F2332" s="72" t="s">
        <v>213</v>
      </c>
      <c r="G2332" s="90">
        <v>230.5</v>
      </c>
      <c r="H2332" s="91"/>
      <c r="I2332" s="92" t="s">
        <v>63</v>
      </c>
      <c r="J2332" s="90">
        <f>G2332*AO2332</f>
        <v>0</v>
      </c>
      <c r="K2332" s="90">
        <f>G2332*AP2332</f>
        <v>0</v>
      </c>
      <c r="L2332" s="90">
        <f>G2332*H2332</f>
        <v>0</v>
      </c>
      <c r="M2332" s="90">
        <f>L2332*(1+BW2332/100)</f>
        <v>0</v>
      </c>
      <c r="N2332" s="90">
        <v>0</v>
      </c>
      <c r="O2332" s="90">
        <f>G2332*N2332</f>
        <v>0</v>
      </c>
      <c r="P2332" s="92" t="s">
        <v>64</v>
      </c>
      <c r="Z2332" s="93">
        <f>IF(AQ2332="5",BJ2332,0)</f>
        <v>0</v>
      </c>
      <c r="AB2332" s="93">
        <f>IF(AQ2332="1",BH2332,0)</f>
        <v>0</v>
      </c>
      <c r="AC2332" s="93">
        <f>IF(AQ2332="1",BI2332,0)</f>
        <v>0</v>
      </c>
      <c r="AD2332" s="93">
        <f>IF(AQ2332="7",BH2332,0)</f>
        <v>0</v>
      </c>
      <c r="AE2332" s="93">
        <f>IF(AQ2332="7",BI2332,0)</f>
        <v>0</v>
      </c>
      <c r="AF2332" s="93">
        <f>IF(AQ2332="2",BH2332,0)</f>
        <v>0</v>
      </c>
      <c r="AG2332" s="93">
        <f>IF(AQ2332="2",BI2332,0)</f>
        <v>0</v>
      </c>
      <c r="AH2332" s="93">
        <f>IF(AQ2332="0",BJ2332,0)</f>
        <v>0</v>
      </c>
      <c r="AI2332" s="88" t="s">
        <v>55</v>
      </c>
      <c r="AJ2332" s="93">
        <f>IF(AN2332=0,L2332,0)</f>
        <v>0</v>
      </c>
      <c r="AK2332" s="93">
        <f>IF(AN2332=12,L2332,0)</f>
        <v>0</v>
      </c>
      <c r="AL2332" s="93">
        <f>IF(AN2332=21,L2332,0)</f>
        <v>0</v>
      </c>
      <c r="AN2332" s="93">
        <v>21</v>
      </c>
      <c r="AO2332" s="93">
        <f>H2332*0.05694051</f>
        <v>0</v>
      </c>
      <c r="AP2332" s="93">
        <f>H2332*(1-0.05694051)</f>
        <v>0</v>
      </c>
      <c r="AQ2332" s="94" t="s">
        <v>148</v>
      </c>
      <c r="AV2332" s="93">
        <f>AW2332+AX2332</f>
        <v>0</v>
      </c>
      <c r="AW2332" s="93">
        <f>G2332*AO2332</f>
        <v>0</v>
      </c>
      <c r="AX2332" s="93">
        <f>G2332*AP2332</f>
        <v>0</v>
      </c>
      <c r="AY2332" s="94" t="s">
        <v>2926</v>
      </c>
      <c r="AZ2332" s="94" t="s">
        <v>2927</v>
      </c>
      <c r="BA2332" s="88" t="s">
        <v>67</v>
      </c>
      <c r="BC2332" s="93">
        <f>AW2332+AX2332</f>
        <v>0</v>
      </c>
      <c r="BD2332" s="93">
        <f>H2332/(100-BE2332)*100</f>
        <v>0</v>
      </c>
      <c r="BE2332" s="93">
        <v>0</v>
      </c>
      <c r="BF2332" s="93">
        <f>O2332</f>
        <v>0</v>
      </c>
      <c r="BH2332" s="93">
        <f>G2332*AO2332</f>
        <v>0</v>
      </c>
      <c r="BI2332" s="93">
        <f>G2332*AP2332</f>
        <v>0</v>
      </c>
      <c r="BJ2332" s="93">
        <f>G2332*H2332</f>
        <v>0</v>
      </c>
      <c r="BK2332" s="93"/>
      <c r="BL2332" s="93"/>
      <c r="BW2332" s="93" t="str">
        <f>I2332</f>
        <v>21</v>
      </c>
      <c r="BX2332" s="2" t="s">
        <v>3075</v>
      </c>
    </row>
    <row r="2333" spans="1:76" s="81" customFormat="1" ht="25.5" x14ac:dyDescent="0.25">
      <c r="A2333" s="66" t="s">
        <v>3086</v>
      </c>
      <c r="B2333" s="72" t="s">
        <v>55</v>
      </c>
      <c r="C2333" s="72" t="s">
        <v>3077</v>
      </c>
      <c r="D2333" s="174" t="s">
        <v>3078</v>
      </c>
      <c r="E2333" s="174"/>
      <c r="F2333" s="72" t="s">
        <v>213</v>
      </c>
      <c r="G2333" s="90">
        <v>230.5</v>
      </c>
      <c r="H2333" s="91"/>
      <c r="I2333" s="92" t="s">
        <v>63</v>
      </c>
      <c r="J2333" s="90">
        <f>G2333*AO2333</f>
        <v>0</v>
      </c>
      <c r="K2333" s="90">
        <f>G2333*AP2333</f>
        <v>0</v>
      </c>
      <c r="L2333" s="90">
        <f>G2333*H2333</f>
        <v>0</v>
      </c>
      <c r="M2333" s="90">
        <f>L2333*(1+BW2333/100)</f>
        <v>0</v>
      </c>
      <c r="N2333" s="90">
        <v>0</v>
      </c>
      <c r="O2333" s="90">
        <f>G2333*N2333</f>
        <v>0</v>
      </c>
      <c r="P2333" s="92" t="s">
        <v>64</v>
      </c>
      <c r="Z2333" s="93">
        <f>IF(AQ2333="5",BJ2333,0)</f>
        <v>0</v>
      </c>
      <c r="AB2333" s="93">
        <f>IF(AQ2333="1",BH2333,0)</f>
        <v>0</v>
      </c>
      <c r="AC2333" s="93">
        <f>IF(AQ2333="1",BI2333,0)</f>
        <v>0</v>
      </c>
      <c r="AD2333" s="93">
        <f>IF(AQ2333="7",BH2333,0)</f>
        <v>0</v>
      </c>
      <c r="AE2333" s="93">
        <f>IF(AQ2333="7",BI2333,0)</f>
        <v>0</v>
      </c>
      <c r="AF2333" s="93">
        <f>IF(AQ2333="2",BH2333,0)</f>
        <v>0</v>
      </c>
      <c r="AG2333" s="93">
        <f>IF(AQ2333="2",BI2333,0)</f>
        <v>0</v>
      </c>
      <c r="AH2333" s="93">
        <f>IF(AQ2333="0",BJ2333,0)</f>
        <v>0</v>
      </c>
      <c r="AI2333" s="88" t="s">
        <v>55</v>
      </c>
      <c r="AJ2333" s="93">
        <f>IF(AN2333=0,L2333,0)</f>
        <v>0</v>
      </c>
      <c r="AK2333" s="93">
        <f>IF(AN2333=12,L2333,0)</f>
        <v>0</v>
      </c>
      <c r="AL2333" s="93">
        <f>IF(AN2333=21,L2333,0)</f>
        <v>0</v>
      </c>
      <c r="AN2333" s="93">
        <v>21</v>
      </c>
      <c r="AO2333" s="93">
        <f>H2333*0</f>
        <v>0</v>
      </c>
      <c r="AP2333" s="93">
        <f>H2333*(1-0)</f>
        <v>0</v>
      </c>
      <c r="AQ2333" s="94" t="s">
        <v>148</v>
      </c>
      <c r="AV2333" s="93">
        <f>AW2333+AX2333</f>
        <v>0</v>
      </c>
      <c r="AW2333" s="93">
        <f>G2333*AO2333</f>
        <v>0</v>
      </c>
      <c r="AX2333" s="93">
        <f>G2333*AP2333</f>
        <v>0</v>
      </c>
      <c r="AY2333" s="94" t="s">
        <v>2926</v>
      </c>
      <c r="AZ2333" s="94" t="s">
        <v>2927</v>
      </c>
      <c r="BA2333" s="88" t="s">
        <v>67</v>
      </c>
      <c r="BC2333" s="93">
        <f>AW2333+AX2333</f>
        <v>0</v>
      </c>
      <c r="BD2333" s="93">
        <f>H2333/(100-BE2333)*100</f>
        <v>0</v>
      </c>
      <c r="BE2333" s="93">
        <v>0</v>
      </c>
      <c r="BF2333" s="93">
        <f>O2333</f>
        <v>0</v>
      </c>
      <c r="BH2333" s="93">
        <f>G2333*AO2333</f>
        <v>0</v>
      </c>
      <c r="BI2333" s="93">
        <f>G2333*AP2333</f>
        <v>0</v>
      </c>
      <c r="BJ2333" s="93">
        <f>G2333*H2333</f>
        <v>0</v>
      </c>
      <c r="BK2333" s="93"/>
      <c r="BL2333" s="93"/>
      <c r="BW2333" s="93" t="str">
        <f>I2333</f>
        <v>21</v>
      </c>
      <c r="BX2333" s="2" t="s">
        <v>3078</v>
      </c>
    </row>
    <row r="2334" spans="1:76" s="81" customFormat="1" ht="25.5" x14ac:dyDescent="0.25">
      <c r="A2334" s="66" t="s">
        <v>3089</v>
      </c>
      <c r="B2334" s="72" t="s">
        <v>55</v>
      </c>
      <c r="C2334" s="72" t="s">
        <v>3080</v>
      </c>
      <c r="D2334" s="174" t="s">
        <v>3081</v>
      </c>
      <c r="E2334" s="174"/>
      <c r="F2334" s="72" t="s">
        <v>213</v>
      </c>
      <c r="G2334" s="90">
        <v>37</v>
      </c>
      <c r="H2334" s="91"/>
      <c r="I2334" s="92" t="s">
        <v>63</v>
      </c>
      <c r="J2334" s="90">
        <f>G2334*AO2334</f>
        <v>0</v>
      </c>
      <c r="K2334" s="90">
        <f>G2334*AP2334</f>
        <v>0</v>
      </c>
      <c r="L2334" s="90">
        <f>G2334*H2334</f>
        <v>0</v>
      </c>
      <c r="M2334" s="90">
        <f>L2334*(1+BW2334/100)</f>
        <v>0</v>
      </c>
      <c r="N2334" s="90">
        <v>1.73E-3</v>
      </c>
      <c r="O2334" s="90">
        <f>G2334*N2334</f>
        <v>6.4009999999999997E-2</v>
      </c>
      <c r="P2334" s="92" t="s">
        <v>64</v>
      </c>
      <c r="Z2334" s="93">
        <f>IF(AQ2334="5",BJ2334,0)</f>
        <v>0</v>
      </c>
      <c r="AB2334" s="93">
        <f>IF(AQ2334="1",BH2334,0)</f>
        <v>0</v>
      </c>
      <c r="AC2334" s="93">
        <f>IF(AQ2334="1",BI2334,0)</f>
        <v>0</v>
      </c>
      <c r="AD2334" s="93">
        <f>IF(AQ2334="7",BH2334,0)</f>
        <v>0</v>
      </c>
      <c r="AE2334" s="93">
        <f>IF(AQ2334="7",BI2334,0)</f>
        <v>0</v>
      </c>
      <c r="AF2334" s="93">
        <f>IF(AQ2334="2",BH2334,0)</f>
        <v>0</v>
      </c>
      <c r="AG2334" s="93">
        <f>IF(AQ2334="2",BI2334,0)</f>
        <v>0</v>
      </c>
      <c r="AH2334" s="93">
        <f>IF(AQ2334="0",BJ2334,0)</f>
        <v>0</v>
      </c>
      <c r="AI2334" s="88" t="s">
        <v>55</v>
      </c>
      <c r="AJ2334" s="93">
        <f>IF(AN2334=0,L2334,0)</f>
        <v>0</v>
      </c>
      <c r="AK2334" s="93">
        <f>IF(AN2334=12,L2334,0)</f>
        <v>0</v>
      </c>
      <c r="AL2334" s="93">
        <f>IF(AN2334=21,L2334,0)</f>
        <v>0</v>
      </c>
      <c r="AN2334" s="93">
        <v>21</v>
      </c>
      <c r="AO2334" s="93">
        <f>H2334*0.879087838</f>
        <v>0</v>
      </c>
      <c r="AP2334" s="93">
        <f>H2334*(1-0.879087838)</f>
        <v>0</v>
      </c>
      <c r="AQ2334" s="94" t="s">
        <v>148</v>
      </c>
      <c r="AV2334" s="93">
        <f>AW2334+AX2334</f>
        <v>0</v>
      </c>
      <c r="AW2334" s="93">
        <f>G2334*AO2334</f>
        <v>0</v>
      </c>
      <c r="AX2334" s="93">
        <f>G2334*AP2334</f>
        <v>0</v>
      </c>
      <c r="AY2334" s="94" t="s">
        <v>2926</v>
      </c>
      <c r="AZ2334" s="94" t="s">
        <v>2927</v>
      </c>
      <c r="BA2334" s="88" t="s">
        <v>67</v>
      </c>
      <c r="BC2334" s="93">
        <f>AW2334+AX2334</f>
        <v>0</v>
      </c>
      <c r="BD2334" s="93">
        <f>H2334/(100-BE2334)*100</f>
        <v>0</v>
      </c>
      <c r="BE2334" s="93">
        <v>0</v>
      </c>
      <c r="BF2334" s="93">
        <f>O2334</f>
        <v>6.4009999999999997E-2</v>
      </c>
      <c r="BH2334" s="93">
        <f>G2334*AO2334</f>
        <v>0</v>
      </c>
      <c r="BI2334" s="93">
        <f>G2334*AP2334</f>
        <v>0</v>
      </c>
      <c r="BJ2334" s="93">
        <f>G2334*H2334</f>
        <v>0</v>
      </c>
      <c r="BK2334" s="93"/>
      <c r="BL2334" s="93"/>
      <c r="BW2334" s="93" t="str">
        <f>I2334</f>
        <v>21</v>
      </c>
      <c r="BX2334" s="2" t="s">
        <v>3081</v>
      </c>
    </row>
    <row r="2335" spans="1:76" s="81" customFormat="1" ht="13.5" customHeight="1" x14ac:dyDescent="0.25">
      <c r="A2335" s="110"/>
      <c r="B2335" s="95"/>
      <c r="C2335" s="95"/>
      <c r="D2335" s="179" t="s">
        <v>3082</v>
      </c>
      <c r="E2335" s="179"/>
      <c r="F2335" s="179"/>
      <c r="G2335" s="179"/>
      <c r="H2335" s="179"/>
      <c r="I2335" s="179"/>
      <c r="J2335" s="179"/>
      <c r="K2335" s="179"/>
      <c r="L2335" s="179"/>
      <c r="M2335" s="179"/>
      <c r="N2335" s="179"/>
      <c r="O2335" s="179"/>
      <c r="P2335" s="179"/>
    </row>
    <row r="2336" spans="1:76" s="81" customFormat="1" ht="25.5" x14ac:dyDescent="0.25">
      <c r="A2336" s="66" t="s">
        <v>3093</v>
      </c>
      <c r="B2336" s="72" t="s">
        <v>55</v>
      </c>
      <c r="C2336" s="72" t="s">
        <v>3084</v>
      </c>
      <c r="D2336" s="174" t="s">
        <v>3081</v>
      </c>
      <c r="E2336" s="174"/>
      <c r="F2336" s="72" t="s">
        <v>213</v>
      </c>
      <c r="G2336" s="90">
        <v>46.5</v>
      </c>
      <c r="H2336" s="91"/>
      <c r="I2336" s="92" t="s">
        <v>63</v>
      </c>
      <c r="J2336" s="90">
        <f>G2336*AO2336</f>
        <v>0</v>
      </c>
      <c r="K2336" s="90">
        <f>G2336*AP2336</f>
        <v>0</v>
      </c>
      <c r="L2336" s="90">
        <f>G2336*H2336</f>
        <v>0</v>
      </c>
      <c r="M2336" s="90">
        <f>L2336*(1+BW2336/100)</f>
        <v>0</v>
      </c>
      <c r="N2336" s="90">
        <v>2.64E-3</v>
      </c>
      <c r="O2336" s="90">
        <f>G2336*N2336</f>
        <v>0.12275999999999999</v>
      </c>
      <c r="P2336" s="92" t="s">
        <v>64</v>
      </c>
      <c r="Z2336" s="93">
        <f>IF(AQ2336="5",BJ2336,0)</f>
        <v>0</v>
      </c>
      <c r="AB2336" s="93">
        <f>IF(AQ2336="1",BH2336,0)</f>
        <v>0</v>
      </c>
      <c r="AC2336" s="93">
        <f>IF(AQ2336="1",BI2336,0)</f>
        <v>0</v>
      </c>
      <c r="AD2336" s="93">
        <f>IF(AQ2336="7",BH2336,0)</f>
        <v>0</v>
      </c>
      <c r="AE2336" s="93">
        <f>IF(AQ2336="7",BI2336,0)</f>
        <v>0</v>
      </c>
      <c r="AF2336" s="93">
        <f>IF(AQ2336="2",BH2336,0)</f>
        <v>0</v>
      </c>
      <c r="AG2336" s="93">
        <f>IF(AQ2336="2",BI2336,0)</f>
        <v>0</v>
      </c>
      <c r="AH2336" s="93">
        <f>IF(AQ2336="0",BJ2336,0)</f>
        <v>0</v>
      </c>
      <c r="AI2336" s="88" t="s">
        <v>55</v>
      </c>
      <c r="AJ2336" s="93">
        <f>IF(AN2336=0,L2336,0)</f>
        <v>0</v>
      </c>
      <c r="AK2336" s="93">
        <f>IF(AN2336=12,L2336,0)</f>
        <v>0</v>
      </c>
      <c r="AL2336" s="93">
        <f>IF(AN2336=21,L2336,0)</f>
        <v>0</v>
      </c>
      <c r="AN2336" s="93">
        <v>21</v>
      </c>
      <c r="AO2336" s="93">
        <f>H2336*0.915985915</f>
        <v>0</v>
      </c>
      <c r="AP2336" s="93">
        <f>H2336*(1-0.915985915)</f>
        <v>0</v>
      </c>
      <c r="AQ2336" s="94" t="s">
        <v>148</v>
      </c>
      <c r="AV2336" s="93">
        <f>AW2336+AX2336</f>
        <v>0</v>
      </c>
      <c r="AW2336" s="93">
        <f>G2336*AO2336</f>
        <v>0</v>
      </c>
      <c r="AX2336" s="93">
        <f>G2336*AP2336</f>
        <v>0</v>
      </c>
      <c r="AY2336" s="94" t="s">
        <v>2926</v>
      </c>
      <c r="AZ2336" s="94" t="s">
        <v>2927</v>
      </c>
      <c r="BA2336" s="88" t="s">
        <v>67</v>
      </c>
      <c r="BC2336" s="93">
        <f>AW2336+AX2336</f>
        <v>0</v>
      </c>
      <c r="BD2336" s="93">
        <f>H2336/(100-BE2336)*100</f>
        <v>0</v>
      </c>
      <c r="BE2336" s="93">
        <v>0</v>
      </c>
      <c r="BF2336" s="93">
        <f>O2336</f>
        <v>0.12275999999999999</v>
      </c>
      <c r="BH2336" s="93">
        <f>G2336*AO2336</f>
        <v>0</v>
      </c>
      <c r="BI2336" s="93">
        <f>G2336*AP2336</f>
        <v>0</v>
      </c>
      <c r="BJ2336" s="93">
        <f>G2336*H2336</f>
        <v>0</v>
      </c>
      <c r="BK2336" s="93"/>
      <c r="BL2336" s="93"/>
      <c r="BW2336" s="93" t="str">
        <f>I2336</f>
        <v>21</v>
      </c>
      <c r="BX2336" s="2" t="s">
        <v>3081</v>
      </c>
    </row>
    <row r="2337" spans="1:76" s="81" customFormat="1" ht="13.5" customHeight="1" x14ac:dyDescent="0.25">
      <c r="A2337" s="110"/>
      <c r="B2337" s="95"/>
      <c r="C2337" s="95"/>
      <c r="D2337" s="179" t="s">
        <v>3085</v>
      </c>
      <c r="E2337" s="179"/>
      <c r="F2337" s="179"/>
      <c r="G2337" s="179"/>
      <c r="H2337" s="179"/>
      <c r="I2337" s="179"/>
      <c r="J2337" s="179"/>
      <c r="K2337" s="179"/>
      <c r="L2337" s="179"/>
      <c r="M2337" s="179"/>
      <c r="N2337" s="179"/>
      <c r="O2337" s="179"/>
      <c r="P2337" s="179"/>
    </row>
    <row r="2338" spans="1:76" s="81" customFormat="1" ht="25.5" x14ac:dyDescent="0.25">
      <c r="A2338" s="66" t="s">
        <v>3096</v>
      </c>
      <c r="B2338" s="72" t="s">
        <v>55</v>
      </c>
      <c r="C2338" s="72" t="s">
        <v>3087</v>
      </c>
      <c r="D2338" s="174" t="s">
        <v>3088</v>
      </c>
      <c r="E2338" s="174"/>
      <c r="F2338" s="72" t="s">
        <v>213</v>
      </c>
      <c r="G2338" s="90">
        <v>147</v>
      </c>
      <c r="H2338" s="91"/>
      <c r="I2338" s="92" t="s">
        <v>63</v>
      </c>
      <c r="J2338" s="90">
        <f>G2338*AO2338</f>
        <v>0</v>
      </c>
      <c r="K2338" s="90">
        <f>G2338*AP2338</f>
        <v>0</v>
      </c>
      <c r="L2338" s="90">
        <f>G2338*H2338</f>
        <v>0</v>
      </c>
      <c r="M2338" s="90">
        <f>L2338*(1+BW2338/100)</f>
        <v>0</v>
      </c>
      <c r="N2338" s="90">
        <v>1.0000000000000001E-5</v>
      </c>
      <c r="O2338" s="90">
        <f>G2338*N2338</f>
        <v>1.4700000000000002E-3</v>
      </c>
      <c r="P2338" s="92" t="s">
        <v>64</v>
      </c>
      <c r="Z2338" s="93">
        <f>IF(AQ2338="5",BJ2338,0)</f>
        <v>0</v>
      </c>
      <c r="AB2338" s="93">
        <f>IF(AQ2338="1",BH2338,0)</f>
        <v>0</v>
      </c>
      <c r="AC2338" s="93">
        <f>IF(AQ2338="1",BI2338,0)</f>
        <v>0</v>
      </c>
      <c r="AD2338" s="93">
        <f>IF(AQ2338="7",BH2338,0)</f>
        <v>0</v>
      </c>
      <c r="AE2338" s="93">
        <f>IF(AQ2338="7",BI2338,0)</f>
        <v>0</v>
      </c>
      <c r="AF2338" s="93">
        <f>IF(AQ2338="2",BH2338,0)</f>
        <v>0</v>
      </c>
      <c r="AG2338" s="93">
        <f>IF(AQ2338="2",BI2338,0)</f>
        <v>0</v>
      </c>
      <c r="AH2338" s="93">
        <f>IF(AQ2338="0",BJ2338,0)</f>
        <v>0</v>
      </c>
      <c r="AI2338" s="88" t="s">
        <v>55</v>
      </c>
      <c r="AJ2338" s="93">
        <f>IF(AN2338=0,L2338,0)</f>
        <v>0</v>
      </c>
      <c r="AK2338" s="93">
        <f>IF(AN2338=12,L2338,0)</f>
        <v>0</v>
      </c>
      <c r="AL2338" s="93">
        <f>IF(AN2338=21,L2338,0)</f>
        <v>0</v>
      </c>
      <c r="AN2338" s="93">
        <v>21</v>
      </c>
      <c r="AO2338" s="93">
        <f>H2338*0.005034325</f>
        <v>0</v>
      </c>
      <c r="AP2338" s="93">
        <f>H2338*(1-0.005034325)</f>
        <v>0</v>
      </c>
      <c r="AQ2338" s="94" t="s">
        <v>148</v>
      </c>
      <c r="AV2338" s="93">
        <f>AW2338+AX2338</f>
        <v>0</v>
      </c>
      <c r="AW2338" s="93">
        <f>G2338*AO2338</f>
        <v>0</v>
      </c>
      <c r="AX2338" s="93">
        <f>G2338*AP2338</f>
        <v>0</v>
      </c>
      <c r="AY2338" s="94" t="s">
        <v>2926</v>
      </c>
      <c r="AZ2338" s="94" t="s">
        <v>2927</v>
      </c>
      <c r="BA2338" s="88" t="s">
        <v>67</v>
      </c>
      <c r="BC2338" s="93">
        <f>AW2338+AX2338</f>
        <v>0</v>
      </c>
      <c r="BD2338" s="93">
        <f>H2338/(100-BE2338)*100</f>
        <v>0</v>
      </c>
      <c r="BE2338" s="93">
        <v>0</v>
      </c>
      <c r="BF2338" s="93">
        <f>O2338</f>
        <v>1.4700000000000002E-3</v>
      </c>
      <c r="BH2338" s="93">
        <f>G2338*AO2338</f>
        <v>0</v>
      </c>
      <c r="BI2338" s="93">
        <f>G2338*AP2338</f>
        <v>0</v>
      </c>
      <c r="BJ2338" s="93">
        <f>G2338*H2338</f>
        <v>0</v>
      </c>
      <c r="BK2338" s="93"/>
      <c r="BL2338" s="93"/>
      <c r="BW2338" s="93" t="str">
        <f>I2338</f>
        <v>21</v>
      </c>
      <c r="BX2338" s="2" t="s">
        <v>3088</v>
      </c>
    </row>
    <row r="2339" spans="1:76" s="81" customFormat="1" ht="13.5" customHeight="1" x14ac:dyDescent="0.25">
      <c r="A2339" s="110"/>
      <c r="B2339" s="95"/>
      <c r="C2339" s="95"/>
      <c r="D2339" s="179" t="s">
        <v>3022</v>
      </c>
      <c r="E2339" s="179"/>
      <c r="F2339" s="179"/>
      <c r="G2339" s="179"/>
      <c r="H2339" s="179"/>
      <c r="I2339" s="179"/>
      <c r="J2339" s="179"/>
      <c r="K2339" s="179"/>
      <c r="L2339" s="179"/>
      <c r="M2339" s="179"/>
      <c r="N2339" s="179"/>
      <c r="O2339" s="179"/>
      <c r="P2339" s="179"/>
    </row>
    <row r="2340" spans="1:76" s="81" customFormat="1" ht="25.5" x14ac:dyDescent="0.25">
      <c r="A2340" s="66" t="s">
        <v>3100</v>
      </c>
      <c r="B2340" s="72" t="s">
        <v>55</v>
      </c>
      <c r="C2340" s="72" t="s">
        <v>3090</v>
      </c>
      <c r="D2340" s="174" t="s">
        <v>3091</v>
      </c>
      <c r="E2340" s="174"/>
      <c r="F2340" s="72" t="s">
        <v>203</v>
      </c>
      <c r="G2340" s="90">
        <v>154.35</v>
      </c>
      <c r="H2340" s="91"/>
      <c r="I2340" s="92" t="s">
        <v>63</v>
      </c>
      <c r="J2340" s="90">
        <f>G2340*AO2340</f>
        <v>0</v>
      </c>
      <c r="K2340" s="90">
        <f>G2340*AP2340</f>
        <v>0</v>
      </c>
      <c r="L2340" s="90">
        <f>G2340*H2340</f>
        <v>0</v>
      </c>
      <c r="M2340" s="90">
        <f>L2340*(1+BW2340/100)</f>
        <v>0</v>
      </c>
      <c r="N2340" s="90">
        <v>6.0000000000000001E-3</v>
      </c>
      <c r="O2340" s="90">
        <f>G2340*N2340</f>
        <v>0.92610000000000003</v>
      </c>
      <c r="P2340" s="92" t="s">
        <v>64</v>
      </c>
      <c r="Z2340" s="93">
        <f>IF(AQ2340="5",BJ2340,0)</f>
        <v>0</v>
      </c>
      <c r="AB2340" s="93">
        <f>IF(AQ2340="1",BH2340,0)</f>
        <v>0</v>
      </c>
      <c r="AC2340" s="93">
        <f>IF(AQ2340="1",BI2340,0)</f>
        <v>0</v>
      </c>
      <c r="AD2340" s="93">
        <f>IF(AQ2340="7",BH2340,0)</f>
        <v>0</v>
      </c>
      <c r="AE2340" s="93">
        <f>IF(AQ2340="7",BI2340,0)</f>
        <v>0</v>
      </c>
      <c r="AF2340" s="93">
        <f>IF(AQ2340="2",BH2340,0)</f>
        <v>0</v>
      </c>
      <c r="AG2340" s="93">
        <f>IF(AQ2340="2",BI2340,0)</f>
        <v>0</v>
      </c>
      <c r="AH2340" s="93">
        <f>IF(AQ2340="0",BJ2340,0)</f>
        <v>0</v>
      </c>
      <c r="AI2340" s="88" t="s">
        <v>55</v>
      </c>
      <c r="AJ2340" s="93">
        <f>IF(AN2340=0,L2340,0)</f>
        <v>0</v>
      </c>
      <c r="AK2340" s="93">
        <f>IF(AN2340=12,L2340,0)</f>
        <v>0</v>
      </c>
      <c r="AL2340" s="93">
        <f>IF(AN2340=21,L2340,0)</f>
        <v>0</v>
      </c>
      <c r="AN2340" s="93">
        <v>21</v>
      </c>
      <c r="AO2340" s="93">
        <f>H2340*1</f>
        <v>0</v>
      </c>
      <c r="AP2340" s="93">
        <f>H2340*(1-1)</f>
        <v>0</v>
      </c>
      <c r="AQ2340" s="94" t="s">
        <v>148</v>
      </c>
      <c r="AV2340" s="93">
        <f>AW2340+AX2340</f>
        <v>0</v>
      </c>
      <c r="AW2340" s="93">
        <f>G2340*AO2340</f>
        <v>0</v>
      </c>
      <c r="AX2340" s="93">
        <f>G2340*AP2340</f>
        <v>0</v>
      </c>
      <c r="AY2340" s="94" t="s">
        <v>2926</v>
      </c>
      <c r="AZ2340" s="94" t="s">
        <v>2927</v>
      </c>
      <c r="BA2340" s="88" t="s">
        <v>67</v>
      </c>
      <c r="BC2340" s="93">
        <f>AW2340+AX2340</f>
        <v>0</v>
      </c>
      <c r="BD2340" s="93">
        <f>H2340/(100-BE2340)*100</f>
        <v>0</v>
      </c>
      <c r="BE2340" s="93">
        <v>0</v>
      </c>
      <c r="BF2340" s="93">
        <f>O2340</f>
        <v>0.92610000000000003</v>
      </c>
      <c r="BH2340" s="93">
        <f>G2340*AO2340</f>
        <v>0</v>
      </c>
      <c r="BI2340" s="93">
        <f>G2340*AP2340</f>
        <v>0</v>
      </c>
      <c r="BJ2340" s="93">
        <f>G2340*H2340</f>
        <v>0</v>
      </c>
      <c r="BK2340" s="93"/>
      <c r="BL2340" s="93"/>
      <c r="BW2340" s="93" t="str">
        <f>I2340</f>
        <v>21</v>
      </c>
      <c r="BX2340" s="2" t="s">
        <v>3091</v>
      </c>
    </row>
    <row r="2341" spans="1:76" s="81" customFormat="1" x14ac:dyDescent="0.25">
      <c r="A2341" s="110"/>
      <c r="B2341" s="95"/>
      <c r="C2341" s="95"/>
      <c r="D2341" s="76" t="s">
        <v>1219</v>
      </c>
      <c r="E2341" s="76" t="s">
        <v>54</v>
      </c>
      <c r="F2341" s="95"/>
      <c r="G2341" s="96">
        <v>147</v>
      </c>
      <c r="H2341" s="95"/>
      <c r="I2341" s="95"/>
      <c r="J2341" s="95"/>
      <c r="K2341" s="95"/>
      <c r="L2341" s="95"/>
      <c r="M2341" s="95"/>
      <c r="N2341" s="95"/>
      <c r="O2341" s="95"/>
      <c r="P2341" s="95"/>
    </row>
    <row r="2342" spans="1:76" s="81" customFormat="1" x14ac:dyDescent="0.25">
      <c r="A2342" s="110"/>
      <c r="B2342" s="95"/>
      <c r="C2342" s="95"/>
      <c r="D2342" s="76" t="s">
        <v>3092</v>
      </c>
      <c r="E2342" s="76" t="s">
        <v>54</v>
      </c>
      <c r="F2342" s="95"/>
      <c r="G2342" s="96">
        <v>7.35</v>
      </c>
      <c r="H2342" s="95"/>
      <c r="I2342" s="95"/>
      <c r="J2342" s="95"/>
      <c r="K2342" s="95"/>
      <c r="L2342" s="95"/>
      <c r="M2342" s="95"/>
      <c r="N2342" s="95"/>
      <c r="O2342" s="95"/>
      <c r="P2342" s="95"/>
    </row>
    <row r="2343" spans="1:76" s="81" customFormat="1" ht="25.5" x14ac:dyDescent="0.25">
      <c r="A2343" s="66" t="s">
        <v>3103</v>
      </c>
      <c r="B2343" s="72" t="s">
        <v>55</v>
      </c>
      <c r="C2343" s="72" t="s">
        <v>3094</v>
      </c>
      <c r="D2343" s="174" t="s">
        <v>3095</v>
      </c>
      <c r="E2343" s="174"/>
      <c r="F2343" s="72" t="s">
        <v>203</v>
      </c>
      <c r="G2343" s="90">
        <v>1</v>
      </c>
      <c r="H2343" s="91"/>
      <c r="I2343" s="92" t="s">
        <v>63</v>
      </c>
      <c r="J2343" s="90">
        <f>G2343*AO2343</f>
        <v>0</v>
      </c>
      <c r="K2343" s="90">
        <f>G2343*AP2343</f>
        <v>0</v>
      </c>
      <c r="L2343" s="90">
        <f>G2343*H2343</f>
        <v>0</v>
      </c>
      <c r="M2343" s="90">
        <f>L2343*(1+BW2343/100)</f>
        <v>0</v>
      </c>
      <c r="N2343" s="90">
        <v>2.0000000000000002E-5</v>
      </c>
      <c r="O2343" s="90">
        <f>G2343*N2343</f>
        <v>2.0000000000000002E-5</v>
      </c>
      <c r="P2343" s="92" t="s">
        <v>64</v>
      </c>
      <c r="Z2343" s="93">
        <f>IF(AQ2343="5",BJ2343,0)</f>
        <v>0</v>
      </c>
      <c r="AB2343" s="93">
        <f>IF(AQ2343="1",BH2343,0)</f>
        <v>0</v>
      </c>
      <c r="AC2343" s="93">
        <f>IF(AQ2343="1",BI2343,0)</f>
        <v>0</v>
      </c>
      <c r="AD2343" s="93">
        <f>IF(AQ2343="7",BH2343,0)</f>
        <v>0</v>
      </c>
      <c r="AE2343" s="93">
        <f>IF(AQ2343="7",BI2343,0)</f>
        <v>0</v>
      </c>
      <c r="AF2343" s="93">
        <f>IF(AQ2343="2",BH2343,0)</f>
        <v>0</v>
      </c>
      <c r="AG2343" s="93">
        <f>IF(AQ2343="2",BI2343,0)</f>
        <v>0</v>
      </c>
      <c r="AH2343" s="93">
        <f>IF(AQ2343="0",BJ2343,0)</f>
        <v>0</v>
      </c>
      <c r="AI2343" s="88" t="s">
        <v>55</v>
      </c>
      <c r="AJ2343" s="93">
        <f>IF(AN2343=0,L2343,0)</f>
        <v>0</v>
      </c>
      <c r="AK2343" s="93">
        <f>IF(AN2343=12,L2343,0)</f>
        <v>0</v>
      </c>
      <c r="AL2343" s="93">
        <f>IF(AN2343=21,L2343,0)</f>
        <v>0</v>
      </c>
      <c r="AN2343" s="93">
        <v>21</v>
      </c>
      <c r="AO2343" s="93">
        <f>H2343*0.050052151</f>
        <v>0</v>
      </c>
      <c r="AP2343" s="93">
        <f>H2343*(1-0.050052151)</f>
        <v>0</v>
      </c>
      <c r="AQ2343" s="94" t="s">
        <v>148</v>
      </c>
      <c r="AV2343" s="93">
        <f>AW2343+AX2343</f>
        <v>0</v>
      </c>
      <c r="AW2343" s="93">
        <f>G2343*AO2343</f>
        <v>0</v>
      </c>
      <c r="AX2343" s="93">
        <f>G2343*AP2343</f>
        <v>0</v>
      </c>
      <c r="AY2343" s="94" t="s">
        <v>2926</v>
      </c>
      <c r="AZ2343" s="94" t="s">
        <v>2927</v>
      </c>
      <c r="BA2343" s="88" t="s">
        <v>67</v>
      </c>
      <c r="BC2343" s="93">
        <f>AW2343+AX2343</f>
        <v>0</v>
      </c>
      <c r="BD2343" s="93">
        <f>H2343/(100-BE2343)*100</f>
        <v>0</v>
      </c>
      <c r="BE2343" s="93">
        <v>0</v>
      </c>
      <c r="BF2343" s="93">
        <f>O2343</f>
        <v>2.0000000000000002E-5</v>
      </c>
      <c r="BH2343" s="93">
        <f>G2343*AO2343</f>
        <v>0</v>
      </c>
      <c r="BI2343" s="93">
        <f>G2343*AP2343</f>
        <v>0</v>
      </c>
      <c r="BJ2343" s="93">
        <f>G2343*H2343</f>
        <v>0</v>
      </c>
      <c r="BK2343" s="93"/>
      <c r="BL2343" s="93"/>
      <c r="BW2343" s="93" t="str">
        <f>I2343</f>
        <v>21</v>
      </c>
      <c r="BX2343" s="2" t="s">
        <v>3095</v>
      </c>
    </row>
    <row r="2344" spans="1:76" s="81" customFormat="1" ht="25.5" x14ac:dyDescent="0.25">
      <c r="A2344" s="66" t="s">
        <v>3106</v>
      </c>
      <c r="B2344" s="72" t="s">
        <v>55</v>
      </c>
      <c r="C2344" s="72" t="s">
        <v>3097</v>
      </c>
      <c r="D2344" s="174" t="s">
        <v>3098</v>
      </c>
      <c r="E2344" s="174"/>
      <c r="F2344" s="72" t="s">
        <v>203</v>
      </c>
      <c r="G2344" s="90">
        <v>1</v>
      </c>
      <c r="H2344" s="91"/>
      <c r="I2344" s="92" t="s">
        <v>63</v>
      </c>
      <c r="J2344" s="90">
        <f>G2344*AO2344</f>
        <v>0</v>
      </c>
      <c r="K2344" s="90">
        <f>G2344*AP2344</f>
        <v>0</v>
      </c>
      <c r="L2344" s="90">
        <f>G2344*H2344</f>
        <v>0</v>
      </c>
      <c r="M2344" s="90">
        <f>L2344*(1+BW2344/100)</f>
        <v>0</v>
      </c>
      <c r="N2344" s="90">
        <v>17.334499999999998</v>
      </c>
      <c r="O2344" s="90">
        <f>G2344*N2344</f>
        <v>17.334499999999998</v>
      </c>
      <c r="P2344" s="92" t="s">
        <v>578</v>
      </c>
      <c r="Z2344" s="93">
        <f>IF(AQ2344="5",BJ2344,0)</f>
        <v>0</v>
      </c>
      <c r="AB2344" s="93">
        <f>IF(AQ2344="1",BH2344,0)</f>
        <v>0</v>
      </c>
      <c r="AC2344" s="93">
        <f>IF(AQ2344="1",BI2344,0)</f>
        <v>0</v>
      </c>
      <c r="AD2344" s="93">
        <f>IF(AQ2344="7",BH2344,0)</f>
        <v>0</v>
      </c>
      <c r="AE2344" s="93">
        <f>IF(AQ2344="7",BI2344,0)</f>
        <v>0</v>
      </c>
      <c r="AF2344" s="93">
        <f>IF(AQ2344="2",BH2344,0)</f>
        <v>0</v>
      </c>
      <c r="AG2344" s="93">
        <f>IF(AQ2344="2",BI2344,0)</f>
        <v>0</v>
      </c>
      <c r="AH2344" s="93">
        <f>IF(AQ2344="0",BJ2344,0)</f>
        <v>0</v>
      </c>
      <c r="AI2344" s="88" t="s">
        <v>55</v>
      </c>
      <c r="AJ2344" s="93">
        <f>IF(AN2344=0,L2344,0)</f>
        <v>0</v>
      </c>
      <c r="AK2344" s="93">
        <f>IF(AN2344=12,L2344,0)</f>
        <v>0</v>
      </c>
      <c r="AL2344" s="93">
        <f>IF(AN2344=21,L2344,0)</f>
        <v>0</v>
      </c>
      <c r="AN2344" s="93">
        <v>21</v>
      </c>
      <c r="AO2344" s="93">
        <f>H2344*0.4777107</f>
        <v>0</v>
      </c>
      <c r="AP2344" s="93">
        <f>H2344*(1-0.4777107)</f>
        <v>0</v>
      </c>
      <c r="AQ2344" s="94" t="s">
        <v>148</v>
      </c>
      <c r="AV2344" s="93">
        <f>AW2344+AX2344</f>
        <v>0</v>
      </c>
      <c r="AW2344" s="93">
        <f>G2344*AO2344</f>
        <v>0</v>
      </c>
      <c r="AX2344" s="93">
        <f>G2344*AP2344</f>
        <v>0</v>
      </c>
      <c r="AY2344" s="94" t="s">
        <v>2926</v>
      </c>
      <c r="AZ2344" s="94" t="s">
        <v>2927</v>
      </c>
      <c r="BA2344" s="88" t="s">
        <v>67</v>
      </c>
      <c r="BC2344" s="93">
        <f>AW2344+AX2344</f>
        <v>0</v>
      </c>
      <c r="BD2344" s="93">
        <f>H2344/(100-BE2344)*100</f>
        <v>0</v>
      </c>
      <c r="BE2344" s="93">
        <v>0</v>
      </c>
      <c r="BF2344" s="93">
        <f>O2344</f>
        <v>17.334499999999998</v>
      </c>
      <c r="BH2344" s="93">
        <f>G2344*AO2344</f>
        <v>0</v>
      </c>
      <c r="BI2344" s="93">
        <f>G2344*AP2344</f>
        <v>0</v>
      </c>
      <c r="BJ2344" s="93">
        <f>G2344*H2344</f>
        <v>0</v>
      </c>
      <c r="BK2344" s="93"/>
      <c r="BL2344" s="93"/>
      <c r="BW2344" s="93" t="str">
        <f>I2344</f>
        <v>21</v>
      </c>
      <c r="BX2344" s="2" t="s">
        <v>3098</v>
      </c>
    </row>
    <row r="2345" spans="1:76" s="81" customFormat="1" ht="13.5" customHeight="1" x14ac:dyDescent="0.25">
      <c r="A2345" s="110"/>
      <c r="B2345" s="95"/>
      <c r="C2345" s="95"/>
      <c r="D2345" s="179" t="s">
        <v>3099</v>
      </c>
      <c r="E2345" s="179"/>
      <c r="F2345" s="179"/>
      <c r="G2345" s="179"/>
      <c r="H2345" s="179"/>
      <c r="I2345" s="179"/>
      <c r="J2345" s="179"/>
      <c r="K2345" s="179"/>
      <c r="L2345" s="179"/>
      <c r="M2345" s="179"/>
      <c r="N2345" s="179"/>
      <c r="O2345" s="179"/>
      <c r="P2345" s="179"/>
    </row>
    <row r="2346" spans="1:76" s="81" customFormat="1" ht="25.5" x14ac:dyDescent="0.25">
      <c r="A2346" s="66" t="s">
        <v>3110</v>
      </c>
      <c r="B2346" s="72" t="s">
        <v>55</v>
      </c>
      <c r="C2346" s="72" t="s">
        <v>3097</v>
      </c>
      <c r="D2346" s="174" t="s">
        <v>3101</v>
      </c>
      <c r="E2346" s="174"/>
      <c r="F2346" s="72" t="s">
        <v>203</v>
      </c>
      <c r="G2346" s="90">
        <v>1</v>
      </c>
      <c r="H2346" s="91"/>
      <c r="I2346" s="92" t="s">
        <v>63</v>
      </c>
      <c r="J2346" s="90">
        <f>G2346*AO2346</f>
        <v>0</v>
      </c>
      <c r="K2346" s="90">
        <f>G2346*AP2346</f>
        <v>0</v>
      </c>
      <c r="L2346" s="90">
        <f>G2346*H2346</f>
        <v>0</v>
      </c>
      <c r="M2346" s="90">
        <f>L2346*(1+BW2346/100)</f>
        <v>0</v>
      </c>
      <c r="N2346" s="90">
        <v>7.6966999999999999</v>
      </c>
      <c r="O2346" s="90">
        <f>G2346*N2346</f>
        <v>7.6966999999999999</v>
      </c>
      <c r="P2346" s="92" t="s">
        <v>578</v>
      </c>
      <c r="Z2346" s="93">
        <f>IF(AQ2346="5",BJ2346,0)</f>
        <v>0</v>
      </c>
      <c r="AB2346" s="93">
        <f>IF(AQ2346="1",BH2346,0)</f>
        <v>0</v>
      </c>
      <c r="AC2346" s="93">
        <f>IF(AQ2346="1",BI2346,0)</f>
        <v>0</v>
      </c>
      <c r="AD2346" s="93">
        <f>IF(AQ2346="7",BH2346,0)</f>
        <v>0</v>
      </c>
      <c r="AE2346" s="93">
        <f>IF(AQ2346="7",BI2346,0)</f>
        <v>0</v>
      </c>
      <c r="AF2346" s="93">
        <f>IF(AQ2346="2",BH2346,0)</f>
        <v>0</v>
      </c>
      <c r="AG2346" s="93">
        <f>IF(AQ2346="2",BI2346,0)</f>
        <v>0</v>
      </c>
      <c r="AH2346" s="93">
        <f>IF(AQ2346="0",BJ2346,0)</f>
        <v>0</v>
      </c>
      <c r="AI2346" s="88" t="s">
        <v>55</v>
      </c>
      <c r="AJ2346" s="93">
        <f>IF(AN2346=0,L2346,0)</f>
        <v>0</v>
      </c>
      <c r="AK2346" s="93">
        <f>IF(AN2346=12,L2346,0)</f>
        <v>0</v>
      </c>
      <c r="AL2346" s="93">
        <f>IF(AN2346=21,L2346,0)</f>
        <v>0</v>
      </c>
      <c r="AN2346" s="93">
        <v>21</v>
      </c>
      <c r="AO2346" s="93">
        <f>H2346*0.289902717</f>
        <v>0</v>
      </c>
      <c r="AP2346" s="93">
        <f>H2346*(1-0.289902717)</f>
        <v>0</v>
      </c>
      <c r="AQ2346" s="94" t="s">
        <v>148</v>
      </c>
      <c r="AV2346" s="93">
        <f>AW2346+AX2346</f>
        <v>0</v>
      </c>
      <c r="AW2346" s="93">
        <f>G2346*AO2346</f>
        <v>0</v>
      </c>
      <c r="AX2346" s="93">
        <f>G2346*AP2346</f>
        <v>0</v>
      </c>
      <c r="AY2346" s="94" t="s">
        <v>2926</v>
      </c>
      <c r="AZ2346" s="94" t="s">
        <v>2927</v>
      </c>
      <c r="BA2346" s="88" t="s">
        <v>67</v>
      </c>
      <c r="BC2346" s="93">
        <f>AW2346+AX2346</f>
        <v>0</v>
      </c>
      <c r="BD2346" s="93">
        <f>H2346/(100-BE2346)*100</f>
        <v>0</v>
      </c>
      <c r="BE2346" s="93">
        <v>0</v>
      </c>
      <c r="BF2346" s="93">
        <f>O2346</f>
        <v>7.6966999999999999</v>
      </c>
      <c r="BH2346" s="93">
        <f>G2346*AO2346</f>
        <v>0</v>
      </c>
      <c r="BI2346" s="93">
        <f>G2346*AP2346</f>
        <v>0</v>
      </c>
      <c r="BJ2346" s="93">
        <f>G2346*H2346</f>
        <v>0</v>
      </c>
      <c r="BK2346" s="93"/>
      <c r="BL2346" s="93"/>
      <c r="BW2346" s="93" t="str">
        <f>I2346</f>
        <v>21</v>
      </c>
      <c r="BX2346" s="2" t="s">
        <v>3101</v>
      </c>
    </row>
    <row r="2347" spans="1:76" s="81" customFormat="1" ht="13.5" customHeight="1" x14ac:dyDescent="0.25">
      <c r="A2347" s="110"/>
      <c r="B2347" s="95"/>
      <c r="C2347" s="95"/>
      <c r="D2347" s="179" t="s">
        <v>3102</v>
      </c>
      <c r="E2347" s="179"/>
      <c r="F2347" s="179"/>
      <c r="G2347" s="179"/>
      <c r="H2347" s="179"/>
      <c r="I2347" s="179"/>
      <c r="J2347" s="179"/>
      <c r="K2347" s="179"/>
      <c r="L2347" s="179"/>
      <c r="M2347" s="179"/>
      <c r="N2347" s="179"/>
      <c r="O2347" s="179"/>
      <c r="P2347" s="179"/>
    </row>
    <row r="2348" spans="1:76" s="81" customFormat="1" ht="25.5" x14ac:dyDescent="0.25">
      <c r="A2348" s="66" t="s">
        <v>3113</v>
      </c>
      <c r="B2348" s="72" t="s">
        <v>55</v>
      </c>
      <c r="C2348" s="72" t="s">
        <v>3104</v>
      </c>
      <c r="D2348" s="174" t="s">
        <v>3105</v>
      </c>
      <c r="E2348" s="174"/>
      <c r="F2348" s="72" t="s">
        <v>203</v>
      </c>
      <c r="G2348" s="90">
        <v>1</v>
      </c>
      <c r="H2348" s="91"/>
      <c r="I2348" s="92" t="s">
        <v>63</v>
      </c>
      <c r="J2348" s="90">
        <f>G2348*AO2348</f>
        <v>0</v>
      </c>
      <c r="K2348" s="90">
        <f>G2348*AP2348</f>
        <v>0</v>
      </c>
      <c r="L2348" s="90">
        <f>G2348*H2348</f>
        <v>0</v>
      </c>
      <c r="M2348" s="90">
        <f>L2348*(1+BW2348/100)</f>
        <v>0</v>
      </c>
      <c r="N2348" s="90">
        <v>7.6966999999999999</v>
      </c>
      <c r="O2348" s="90">
        <f>G2348*N2348</f>
        <v>7.6966999999999999</v>
      </c>
      <c r="P2348" s="92" t="s">
        <v>578</v>
      </c>
      <c r="Z2348" s="93">
        <f>IF(AQ2348="5",BJ2348,0)</f>
        <v>0</v>
      </c>
      <c r="AB2348" s="93">
        <f>IF(AQ2348="1",BH2348,0)</f>
        <v>0</v>
      </c>
      <c r="AC2348" s="93">
        <f>IF(AQ2348="1",BI2348,0)</f>
        <v>0</v>
      </c>
      <c r="AD2348" s="93">
        <f>IF(AQ2348="7",BH2348,0)</f>
        <v>0</v>
      </c>
      <c r="AE2348" s="93">
        <f>IF(AQ2348="7",BI2348,0)</f>
        <v>0</v>
      </c>
      <c r="AF2348" s="93">
        <f>IF(AQ2348="2",BH2348,0)</f>
        <v>0</v>
      </c>
      <c r="AG2348" s="93">
        <f>IF(AQ2348="2",BI2348,0)</f>
        <v>0</v>
      </c>
      <c r="AH2348" s="93">
        <f>IF(AQ2348="0",BJ2348,0)</f>
        <v>0</v>
      </c>
      <c r="AI2348" s="88" t="s">
        <v>55</v>
      </c>
      <c r="AJ2348" s="93">
        <f>IF(AN2348=0,L2348,0)</f>
        <v>0</v>
      </c>
      <c r="AK2348" s="93">
        <f>IF(AN2348=12,L2348,0)</f>
        <v>0</v>
      </c>
      <c r="AL2348" s="93">
        <f>IF(AN2348=21,L2348,0)</f>
        <v>0</v>
      </c>
      <c r="AN2348" s="93">
        <v>21</v>
      </c>
      <c r="AO2348" s="93">
        <f>H2348*0</f>
        <v>0</v>
      </c>
      <c r="AP2348" s="93">
        <f>H2348*(1-0)</f>
        <v>0</v>
      </c>
      <c r="AQ2348" s="94" t="s">
        <v>148</v>
      </c>
      <c r="AV2348" s="93">
        <f>AW2348+AX2348</f>
        <v>0</v>
      </c>
      <c r="AW2348" s="93">
        <f>G2348*AO2348</f>
        <v>0</v>
      </c>
      <c r="AX2348" s="93">
        <f>G2348*AP2348</f>
        <v>0</v>
      </c>
      <c r="AY2348" s="94" t="s">
        <v>2926</v>
      </c>
      <c r="AZ2348" s="94" t="s">
        <v>2927</v>
      </c>
      <c r="BA2348" s="88" t="s">
        <v>67</v>
      </c>
      <c r="BC2348" s="93">
        <f>AW2348+AX2348</f>
        <v>0</v>
      </c>
      <c r="BD2348" s="93">
        <f>H2348/(100-BE2348)*100</f>
        <v>0</v>
      </c>
      <c r="BE2348" s="93">
        <v>0</v>
      </c>
      <c r="BF2348" s="93">
        <f>O2348</f>
        <v>7.6966999999999999</v>
      </c>
      <c r="BH2348" s="93">
        <f>G2348*AO2348</f>
        <v>0</v>
      </c>
      <c r="BI2348" s="93">
        <f>G2348*AP2348</f>
        <v>0</v>
      </c>
      <c r="BJ2348" s="93">
        <f>G2348*H2348</f>
        <v>0</v>
      </c>
      <c r="BK2348" s="93"/>
      <c r="BL2348" s="93"/>
      <c r="BW2348" s="93" t="str">
        <f>I2348</f>
        <v>21</v>
      </c>
      <c r="BX2348" s="2" t="s">
        <v>3105</v>
      </c>
    </row>
    <row r="2349" spans="1:76" s="81" customFormat="1" ht="13.5" customHeight="1" x14ac:dyDescent="0.25">
      <c r="A2349" s="110"/>
      <c r="B2349" s="95"/>
      <c r="C2349" s="95"/>
      <c r="D2349" s="179" t="s">
        <v>3102</v>
      </c>
      <c r="E2349" s="179"/>
      <c r="F2349" s="179"/>
      <c r="G2349" s="179"/>
      <c r="H2349" s="179"/>
      <c r="I2349" s="179"/>
      <c r="J2349" s="179"/>
      <c r="K2349" s="179"/>
      <c r="L2349" s="179"/>
      <c r="M2349" s="179"/>
      <c r="N2349" s="179"/>
      <c r="O2349" s="179"/>
      <c r="P2349" s="179"/>
    </row>
    <row r="2350" spans="1:76" s="81" customFormat="1" ht="25.5" x14ac:dyDescent="0.25">
      <c r="A2350" s="66" t="s">
        <v>3117</v>
      </c>
      <c r="B2350" s="72" t="s">
        <v>55</v>
      </c>
      <c r="C2350" s="72" t="s">
        <v>3107</v>
      </c>
      <c r="D2350" s="174" t="s">
        <v>3108</v>
      </c>
      <c r="E2350" s="174"/>
      <c r="F2350" s="72" t="s">
        <v>203</v>
      </c>
      <c r="G2350" s="90">
        <v>1</v>
      </c>
      <c r="H2350" s="91"/>
      <c r="I2350" s="92" t="s">
        <v>63</v>
      </c>
      <c r="J2350" s="90">
        <f>G2350*AO2350</f>
        <v>0</v>
      </c>
      <c r="K2350" s="90">
        <f>G2350*AP2350</f>
        <v>0</v>
      </c>
      <c r="L2350" s="90">
        <f>G2350*H2350</f>
        <v>0</v>
      </c>
      <c r="M2350" s="90">
        <f>L2350*(1+BW2350/100)</f>
        <v>0</v>
      </c>
      <c r="N2350" s="90">
        <v>6.4400000000000004E-3</v>
      </c>
      <c r="O2350" s="90">
        <f>G2350*N2350</f>
        <v>6.4400000000000004E-3</v>
      </c>
      <c r="P2350" s="92" t="s">
        <v>64</v>
      </c>
      <c r="Z2350" s="93">
        <f>IF(AQ2350="5",BJ2350,0)</f>
        <v>0</v>
      </c>
      <c r="AB2350" s="93">
        <f>IF(AQ2350="1",BH2350,0)</f>
        <v>0</v>
      </c>
      <c r="AC2350" s="93">
        <f>IF(AQ2350="1",BI2350,0)</f>
        <v>0</v>
      </c>
      <c r="AD2350" s="93">
        <f>IF(AQ2350="7",BH2350,0)</f>
        <v>0</v>
      </c>
      <c r="AE2350" s="93">
        <f>IF(AQ2350="7",BI2350,0)</f>
        <v>0</v>
      </c>
      <c r="AF2350" s="93">
        <f>IF(AQ2350="2",BH2350,0)</f>
        <v>0</v>
      </c>
      <c r="AG2350" s="93">
        <f>IF(AQ2350="2",BI2350,0)</f>
        <v>0</v>
      </c>
      <c r="AH2350" s="93">
        <f>IF(AQ2350="0",BJ2350,0)</f>
        <v>0</v>
      </c>
      <c r="AI2350" s="88" t="s">
        <v>55</v>
      </c>
      <c r="AJ2350" s="93">
        <f>IF(AN2350=0,L2350,0)</f>
        <v>0</v>
      </c>
      <c r="AK2350" s="93">
        <f>IF(AN2350=12,L2350,0)</f>
        <v>0</v>
      </c>
      <c r="AL2350" s="93">
        <f>IF(AN2350=21,L2350,0)</f>
        <v>0</v>
      </c>
      <c r="AN2350" s="93">
        <v>21</v>
      </c>
      <c r="AO2350" s="93">
        <f>H2350*0.941121844</f>
        <v>0</v>
      </c>
      <c r="AP2350" s="93">
        <f>H2350*(1-0.941121844)</f>
        <v>0</v>
      </c>
      <c r="AQ2350" s="94" t="s">
        <v>148</v>
      </c>
      <c r="AV2350" s="93">
        <f>AW2350+AX2350</f>
        <v>0</v>
      </c>
      <c r="AW2350" s="93">
        <f>G2350*AO2350</f>
        <v>0</v>
      </c>
      <c r="AX2350" s="93">
        <f>G2350*AP2350</f>
        <v>0</v>
      </c>
      <c r="AY2350" s="94" t="s">
        <v>2926</v>
      </c>
      <c r="AZ2350" s="94" t="s">
        <v>2927</v>
      </c>
      <c r="BA2350" s="88" t="s">
        <v>67</v>
      </c>
      <c r="BC2350" s="93">
        <f>AW2350+AX2350</f>
        <v>0</v>
      </c>
      <c r="BD2350" s="93">
        <f>H2350/(100-BE2350)*100</f>
        <v>0</v>
      </c>
      <c r="BE2350" s="93">
        <v>0</v>
      </c>
      <c r="BF2350" s="93">
        <f>O2350</f>
        <v>6.4400000000000004E-3</v>
      </c>
      <c r="BH2350" s="93">
        <f>G2350*AO2350</f>
        <v>0</v>
      </c>
      <c r="BI2350" s="93">
        <f>G2350*AP2350</f>
        <v>0</v>
      </c>
      <c r="BJ2350" s="93">
        <f>G2350*H2350</f>
        <v>0</v>
      </c>
      <c r="BK2350" s="93"/>
      <c r="BL2350" s="93"/>
      <c r="BW2350" s="93" t="str">
        <f>I2350</f>
        <v>21</v>
      </c>
      <c r="BX2350" s="2" t="s">
        <v>3108</v>
      </c>
    </row>
    <row r="2351" spans="1:76" s="81" customFormat="1" ht="13.5" customHeight="1" x14ac:dyDescent="0.25">
      <c r="A2351" s="110"/>
      <c r="B2351" s="95"/>
      <c r="C2351" s="95"/>
      <c r="D2351" s="179" t="s">
        <v>3109</v>
      </c>
      <c r="E2351" s="179"/>
      <c r="F2351" s="179"/>
      <c r="G2351" s="179"/>
      <c r="H2351" s="179"/>
      <c r="I2351" s="179"/>
      <c r="J2351" s="179"/>
      <c r="K2351" s="179"/>
      <c r="L2351" s="179"/>
      <c r="M2351" s="179"/>
      <c r="N2351" s="179"/>
      <c r="O2351" s="179"/>
      <c r="P2351" s="179"/>
    </row>
    <row r="2352" spans="1:76" s="81" customFormat="1" ht="25.5" x14ac:dyDescent="0.25">
      <c r="A2352" s="66" t="s">
        <v>3119</v>
      </c>
      <c r="B2352" s="72" t="s">
        <v>55</v>
      </c>
      <c r="C2352" s="72" t="s">
        <v>3111</v>
      </c>
      <c r="D2352" s="174" t="s">
        <v>3112</v>
      </c>
      <c r="E2352" s="174"/>
      <c r="F2352" s="72" t="s">
        <v>1332</v>
      </c>
      <c r="G2352" s="90">
        <v>1</v>
      </c>
      <c r="H2352" s="91"/>
      <c r="I2352" s="92" t="s">
        <v>63</v>
      </c>
      <c r="J2352" s="90">
        <f>G2352*AO2352</f>
        <v>0</v>
      </c>
      <c r="K2352" s="90">
        <f>G2352*AP2352</f>
        <v>0</v>
      </c>
      <c r="L2352" s="90">
        <f>G2352*H2352</f>
        <v>0</v>
      </c>
      <c r="M2352" s="90">
        <f>L2352*(1+BW2352/100)</f>
        <v>0</v>
      </c>
      <c r="N2352" s="90">
        <v>0.5</v>
      </c>
      <c r="O2352" s="90">
        <f>G2352*N2352</f>
        <v>0.5</v>
      </c>
      <c r="P2352" s="92" t="s">
        <v>578</v>
      </c>
      <c r="Z2352" s="93">
        <f>IF(AQ2352="5",BJ2352,0)</f>
        <v>0</v>
      </c>
      <c r="AB2352" s="93">
        <f>IF(AQ2352="1",BH2352,0)</f>
        <v>0</v>
      </c>
      <c r="AC2352" s="93">
        <f>IF(AQ2352="1",BI2352,0)</f>
        <v>0</v>
      </c>
      <c r="AD2352" s="93">
        <f>IF(AQ2352="7",BH2352,0)</f>
        <v>0</v>
      </c>
      <c r="AE2352" s="93">
        <f>IF(AQ2352="7",BI2352,0)</f>
        <v>0</v>
      </c>
      <c r="AF2352" s="93">
        <f>IF(AQ2352="2",BH2352,0)</f>
        <v>0</v>
      </c>
      <c r="AG2352" s="93">
        <f>IF(AQ2352="2",BI2352,0)</f>
        <v>0</v>
      </c>
      <c r="AH2352" s="93">
        <f>IF(AQ2352="0",BJ2352,0)</f>
        <v>0</v>
      </c>
      <c r="AI2352" s="88" t="s">
        <v>55</v>
      </c>
      <c r="AJ2352" s="93">
        <f>IF(AN2352=0,L2352,0)</f>
        <v>0</v>
      </c>
      <c r="AK2352" s="93">
        <f>IF(AN2352=12,L2352,0)</f>
        <v>0</v>
      </c>
      <c r="AL2352" s="93">
        <f>IF(AN2352=21,L2352,0)</f>
        <v>0</v>
      </c>
      <c r="AN2352" s="93">
        <v>21</v>
      </c>
      <c r="AO2352" s="93">
        <f>H2352*0.022293</f>
        <v>0</v>
      </c>
      <c r="AP2352" s="93">
        <f>H2352*(1-0.022293)</f>
        <v>0</v>
      </c>
      <c r="AQ2352" s="94" t="s">
        <v>148</v>
      </c>
      <c r="AV2352" s="93">
        <f>AW2352+AX2352</f>
        <v>0</v>
      </c>
      <c r="AW2352" s="93">
        <f>G2352*AO2352</f>
        <v>0</v>
      </c>
      <c r="AX2352" s="93">
        <f>G2352*AP2352</f>
        <v>0</v>
      </c>
      <c r="AY2352" s="94" t="s">
        <v>2926</v>
      </c>
      <c r="AZ2352" s="94" t="s">
        <v>2927</v>
      </c>
      <c r="BA2352" s="88" t="s">
        <v>67</v>
      </c>
      <c r="BC2352" s="93">
        <f>AW2352+AX2352</f>
        <v>0</v>
      </c>
      <c r="BD2352" s="93">
        <f>H2352/(100-BE2352)*100</f>
        <v>0</v>
      </c>
      <c r="BE2352" s="93">
        <v>0</v>
      </c>
      <c r="BF2352" s="93">
        <f>O2352</f>
        <v>0.5</v>
      </c>
      <c r="BH2352" s="93">
        <f>G2352*AO2352</f>
        <v>0</v>
      </c>
      <c r="BI2352" s="93">
        <f>G2352*AP2352</f>
        <v>0</v>
      </c>
      <c r="BJ2352" s="93">
        <f>G2352*H2352</f>
        <v>0</v>
      </c>
      <c r="BK2352" s="93"/>
      <c r="BL2352" s="93"/>
      <c r="BW2352" s="93" t="str">
        <f>I2352</f>
        <v>21</v>
      </c>
      <c r="BX2352" s="2" t="s">
        <v>3112</v>
      </c>
    </row>
    <row r="2353" spans="1:76" s="81" customFormat="1" ht="25.5" x14ac:dyDescent="0.25">
      <c r="A2353" s="66" t="s">
        <v>3122</v>
      </c>
      <c r="B2353" s="72" t="s">
        <v>55</v>
      </c>
      <c r="C2353" s="72" t="s">
        <v>3114</v>
      </c>
      <c r="D2353" s="174" t="s">
        <v>3115</v>
      </c>
      <c r="E2353" s="174"/>
      <c r="F2353" s="72" t="s">
        <v>1332</v>
      </c>
      <c r="G2353" s="90">
        <v>1</v>
      </c>
      <c r="H2353" s="91"/>
      <c r="I2353" s="92" t="s">
        <v>63</v>
      </c>
      <c r="J2353" s="90">
        <f>G2353*AO2353</f>
        <v>0</v>
      </c>
      <c r="K2353" s="90">
        <f>G2353*AP2353</f>
        <v>0</v>
      </c>
      <c r="L2353" s="90">
        <f>G2353*H2353</f>
        <v>0</v>
      </c>
      <c r="M2353" s="90">
        <f>L2353*(1+BW2353/100)</f>
        <v>0</v>
      </c>
      <c r="N2353" s="90">
        <v>3.8159999999999999E-2</v>
      </c>
      <c r="O2353" s="90">
        <f>G2353*N2353</f>
        <v>3.8159999999999999E-2</v>
      </c>
      <c r="P2353" s="92" t="s">
        <v>64</v>
      </c>
      <c r="Z2353" s="93">
        <f>IF(AQ2353="5",BJ2353,0)</f>
        <v>0</v>
      </c>
      <c r="AB2353" s="93">
        <f>IF(AQ2353="1",BH2353,0)</f>
        <v>0</v>
      </c>
      <c r="AC2353" s="93">
        <f>IF(AQ2353="1",BI2353,0)</f>
        <v>0</v>
      </c>
      <c r="AD2353" s="93">
        <f>IF(AQ2353="7",BH2353,0)</f>
        <v>0</v>
      </c>
      <c r="AE2353" s="93">
        <f>IF(AQ2353="7",BI2353,0)</f>
        <v>0</v>
      </c>
      <c r="AF2353" s="93">
        <f>IF(AQ2353="2",BH2353,0)</f>
        <v>0</v>
      </c>
      <c r="AG2353" s="93">
        <f>IF(AQ2353="2",BI2353,0)</f>
        <v>0</v>
      </c>
      <c r="AH2353" s="93">
        <f>IF(AQ2353="0",BJ2353,0)</f>
        <v>0</v>
      </c>
      <c r="AI2353" s="88" t="s">
        <v>55</v>
      </c>
      <c r="AJ2353" s="93">
        <f>IF(AN2353=0,L2353,0)</f>
        <v>0</v>
      </c>
      <c r="AK2353" s="93">
        <f>IF(AN2353=12,L2353,0)</f>
        <v>0</v>
      </c>
      <c r="AL2353" s="93">
        <f>IF(AN2353=21,L2353,0)</f>
        <v>0</v>
      </c>
      <c r="AN2353" s="93">
        <v>21</v>
      </c>
      <c r="AO2353" s="93">
        <f>H2353*0.922633415</f>
        <v>0</v>
      </c>
      <c r="AP2353" s="93">
        <f>H2353*(1-0.922633415)</f>
        <v>0</v>
      </c>
      <c r="AQ2353" s="94" t="s">
        <v>148</v>
      </c>
      <c r="AV2353" s="93">
        <f>AW2353+AX2353</f>
        <v>0</v>
      </c>
      <c r="AW2353" s="93">
        <f>G2353*AO2353</f>
        <v>0</v>
      </c>
      <c r="AX2353" s="93">
        <f>G2353*AP2353</f>
        <v>0</v>
      </c>
      <c r="AY2353" s="94" t="s">
        <v>2926</v>
      </c>
      <c r="AZ2353" s="94" t="s">
        <v>2927</v>
      </c>
      <c r="BA2353" s="88" t="s">
        <v>67</v>
      </c>
      <c r="BC2353" s="93">
        <f>AW2353+AX2353</f>
        <v>0</v>
      </c>
      <c r="BD2353" s="93">
        <f>H2353/(100-BE2353)*100</f>
        <v>0</v>
      </c>
      <c r="BE2353" s="93">
        <v>0</v>
      </c>
      <c r="BF2353" s="93">
        <f>O2353</f>
        <v>3.8159999999999999E-2</v>
      </c>
      <c r="BH2353" s="93">
        <f>G2353*AO2353</f>
        <v>0</v>
      </c>
      <c r="BI2353" s="93">
        <f>G2353*AP2353</f>
        <v>0</v>
      </c>
      <c r="BJ2353" s="93">
        <f>G2353*H2353</f>
        <v>0</v>
      </c>
      <c r="BK2353" s="93"/>
      <c r="BL2353" s="93"/>
      <c r="BW2353" s="93" t="str">
        <f>I2353</f>
        <v>21</v>
      </c>
      <c r="BX2353" s="2" t="s">
        <v>3115</v>
      </c>
    </row>
    <row r="2354" spans="1:76" s="81" customFormat="1" ht="13.5" customHeight="1" x14ac:dyDescent="0.25">
      <c r="A2354" s="110"/>
      <c r="B2354" s="95"/>
      <c r="C2354" s="95"/>
      <c r="D2354" s="179" t="s">
        <v>3116</v>
      </c>
      <c r="E2354" s="179"/>
      <c r="F2354" s="179"/>
      <c r="G2354" s="179"/>
      <c r="H2354" s="179"/>
      <c r="I2354" s="179"/>
      <c r="J2354" s="179"/>
      <c r="K2354" s="179"/>
      <c r="L2354" s="179"/>
      <c r="M2354" s="179"/>
      <c r="N2354" s="179"/>
      <c r="O2354" s="179"/>
      <c r="P2354" s="179"/>
    </row>
    <row r="2355" spans="1:76" s="81" customFormat="1" ht="25.5" x14ac:dyDescent="0.25">
      <c r="A2355" s="66" t="s">
        <v>3125</v>
      </c>
      <c r="B2355" s="72" t="s">
        <v>55</v>
      </c>
      <c r="C2355" s="72" t="s">
        <v>1330</v>
      </c>
      <c r="D2355" s="174" t="s">
        <v>3118</v>
      </c>
      <c r="E2355" s="174"/>
      <c r="F2355" s="72" t="s">
        <v>1332</v>
      </c>
      <c r="G2355" s="90">
        <v>1</v>
      </c>
      <c r="H2355" s="91"/>
      <c r="I2355" s="92" t="s">
        <v>63</v>
      </c>
      <c r="J2355" s="90">
        <f>G2355*AO2355</f>
        <v>0</v>
      </c>
      <c r="K2355" s="90">
        <f>G2355*AP2355</f>
        <v>0</v>
      </c>
      <c r="L2355" s="90">
        <f>G2355*H2355</f>
        <v>0</v>
      </c>
      <c r="M2355" s="90">
        <f>L2355*(1+BW2355/100)</f>
        <v>0</v>
      </c>
      <c r="N2355" s="90">
        <v>0.5</v>
      </c>
      <c r="O2355" s="90">
        <f>G2355*N2355</f>
        <v>0.5</v>
      </c>
      <c r="P2355" s="92" t="s">
        <v>578</v>
      </c>
      <c r="Z2355" s="93">
        <f>IF(AQ2355="5",BJ2355,0)</f>
        <v>0</v>
      </c>
      <c r="AB2355" s="93">
        <f>IF(AQ2355="1",BH2355,0)</f>
        <v>0</v>
      </c>
      <c r="AC2355" s="93">
        <f>IF(AQ2355="1",BI2355,0)</f>
        <v>0</v>
      </c>
      <c r="AD2355" s="93">
        <f>IF(AQ2355="7",BH2355,0)</f>
        <v>0</v>
      </c>
      <c r="AE2355" s="93">
        <f>IF(AQ2355="7",BI2355,0)</f>
        <v>0</v>
      </c>
      <c r="AF2355" s="93">
        <f>IF(AQ2355="2",BH2355,0)</f>
        <v>0</v>
      </c>
      <c r="AG2355" s="93">
        <f>IF(AQ2355="2",BI2355,0)</f>
        <v>0</v>
      </c>
      <c r="AH2355" s="93">
        <f>IF(AQ2355="0",BJ2355,0)</f>
        <v>0</v>
      </c>
      <c r="AI2355" s="88" t="s">
        <v>55</v>
      </c>
      <c r="AJ2355" s="93">
        <f>IF(AN2355=0,L2355,0)</f>
        <v>0</v>
      </c>
      <c r="AK2355" s="93">
        <f>IF(AN2355=12,L2355,0)</f>
        <v>0</v>
      </c>
      <c r="AL2355" s="93">
        <f>IF(AN2355=21,L2355,0)</f>
        <v>0</v>
      </c>
      <c r="AN2355" s="93">
        <v>21</v>
      </c>
      <c r="AO2355" s="93">
        <f>H2355*0.022293333</f>
        <v>0</v>
      </c>
      <c r="AP2355" s="93">
        <f>H2355*(1-0.022293333)</f>
        <v>0</v>
      </c>
      <c r="AQ2355" s="94" t="s">
        <v>148</v>
      </c>
      <c r="AV2355" s="93">
        <f>AW2355+AX2355</f>
        <v>0</v>
      </c>
      <c r="AW2355" s="93">
        <f>G2355*AO2355</f>
        <v>0</v>
      </c>
      <c r="AX2355" s="93">
        <f>G2355*AP2355</f>
        <v>0</v>
      </c>
      <c r="AY2355" s="94" t="s">
        <v>2926</v>
      </c>
      <c r="AZ2355" s="94" t="s">
        <v>2927</v>
      </c>
      <c r="BA2355" s="88" t="s">
        <v>67</v>
      </c>
      <c r="BC2355" s="93">
        <f>AW2355+AX2355</f>
        <v>0</v>
      </c>
      <c r="BD2355" s="93">
        <f>H2355/(100-BE2355)*100</f>
        <v>0</v>
      </c>
      <c r="BE2355" s="93">
        <v>0</v>
      </c>
      <c r="BF2355" s="93">
        <f>O2355</f>
        <v>0.5</v>
      </c>
      <c r="BH2355" s="93">
        <f>G2355*AO2355</f>
        <v>0</v>
      </c>
      <c r="BI2355" s="93">
        <f>G2355*AP2355</f>
        <v>0</v>
      </c>
      <c r="BJ2355" s="93">
        <f>G2355*H2355</f>
        <v>0</v>
      </c>
      <c r="BK2355" s="93"/>
      <c r="BL2355" s="93"/>
      <c r="BW2355" s="93" t="str">
        <f>I2355</f>
        <v>21</v>
      </c>
      <c r="BX2355" s="2" t="s">
        <v>3118</v>
      </c>
    </row>
    <row r="2356" spans="1:76" s="81" customFormat="1" ht="25.5" x14ac:dyDescent="0.25">
      <c r="A2356" s="66" t="s">
        <v>3130</v>
      </c>
      <c r="B2356" s="72" t="s">
        <v>55</v>
      </c>
      <c r="C2356" s="72" t="s">
        <v>3120</v>
      </c>
      <c r="D2356" s="174" t="s">
        <v>3121</v>
      </c>
      <c r="E2356" s="174"/>
      <c r="F2356" s="72" t="s">
        <v>203</v>
      </c>
      <c r="G2356" s="90">
        <v>2</v>
      </c>
      <c r="H2356" s="91"/>
      <c r="I2356" s="92" t="s">
        <v>63</v>
      </c>
      <c r="J2356" s="90">
        <f>G2356*AO2356</f>
        <v>0</v>
      </c>
      <c r="K2356" s="90">
        <f>G2356*AP2356</f>
        <v>0</v>
      </c>
      <c r="L2356" s="90">
        <f>G2356*H2356</f>
        <v>0</v>
      </c>
      <c r="M2356" s="90">
        <f>L2356*(1+BW2356/100)</f>
        <v>0</v>
      </c>
      <c r="N2356" s="90">
        <v>1.3600000000000001E-3</v>
      </c>
      <c r="O2356" s="90">
        <f>G2356*N2356</f>
        <v>2.7200000000000002E-3</v>
      </c>
      <c r="P2356" s="92" t="s">
        <v>64</v>
      </c>
      <c r="Z2356" s="93">
        <f>IF(AQ2356="5",BJ2356,0)</f>
        <v>0</v>
      </c>
      <c r="AB2356" s="93">
        <f>IF(AQ2356="1",BH2356,0)</f>
        <v>0</v>
      </c>
      <c r="AC2356" s="93">
        <f>IF(AQ2356="1",BI2356,0)</f>
        <v>0</v>
      </c>
      <c r="AD2356" s="93">
        <f>IF(AQ2356="7",BH2356,0)</f>
        <v>0</v>
      </c>
      <c r="AE2356" s="93">
        <f>IF(AQ2356="7",BI2356,0)</f>
        <v>0</v>
      </c>
      <c r="AF2356" s="93">
        <f>IF(AQ2356="2",BH2356,0)</f>
        <v>0</v>
      </c>
      <c r="AG2356" s="93">
        <f>IF(AQ2356="2",BI2356,0)</f>
        <v>0</v>
      </c>
      <c r="AH2356" s="93">
        <f>IF(AQ2356="0",BJ2356,0)</f>
        <v>0</v>
      </c>
      <c r="AI2356" s="88" t="s">
        <v>55</v>
      </c>
      <c r="AJ2356" s="93">
        <f>IF(AN2356=0,L2356,0)</f>
        <v>0</v>
      </c>
      <c r="AK2356" s="93">
        <f>IF(AN2356=12,L2356,0)</f>
        <v>0</v>
      </c>
      <c r="AL2356" s="93">
        <f>IF(AN2356=21,L2356,0)</f>
        <v>0</v>
      </c>
      <c r="AN2356" s="93">
        <v>21</v>
      </c>
      <c r="AO2356" s="93">
        <f>H2356*0.962354108</f>
        <v>0</v>
      </c>
      <c r="AP2356" s="93">
        <f>H2356*(1-0.962354108)</f>
        <v>0</v>
      </c>
      <c r="AQ2356" s="94" t="s">
        <v>148</v>
      </c>
      <c r="AV2356" s="93">
        <f>AW2356+AX2356</f>
        <v>0</v>
      </c>
      <c r="AW2356" s="93">
        <f>G2356*AO2356</f>
        <v>0</v>
      </c>
      <c r="AX2356" s="93">
        <f>G2356*AP2356</f>
        <v>0</v>
      </c>
      <c r="AY2356" s="94" t="s">
        <v>2926</v>
      </c>
      <c r="AZ2356" s="94" t="s">
        <v>2927</v>
      </c>
      <c r="BA2356" s="88" t="s">
        <v>67</v>
      </c>
      <c r="BC2356" s="93">
        <f>AW2356+AX2356</f>
        <v>0</v>
      </c>
      <c r="BD2356" s="93">
        <f>H2356/(100-BE2356)*100</f>
        <v>0</v>
      </c>
      <c r="BE2356" s="93">
        <v>0</v>
      </c>
      <c r="BF2356" s="93">
        <f>O2356</f>
        <v>2.7200000000000002E-3</v>
      </c>
      <c r="BH2356" s="93">
        <f>G2356*AO2356</f>
        <v>0</v>
      </c>
      <c r="BI2356" s="93">
        <f>G2356*AP2356</f>
        <v>0</v>
      </c>
      <c r="BJ2356" s="93">
        <f>G2356*H2356</f>
        <v>0</v>
      </c>
      <c r="BK2356" s="93"/>
      <c r="BL2356" s="93"/>
      <c r="BW2356" s="93" t="str">
        <f>I2356</f>
        <v>21</v>
      </c>
      <c r="BX2356" s="2" t="s">
        <v>3121</v>
      </c>
    </row>
    <row r="2357" spans="1:76" s="81" customFormat="1" ht="25.5" x14ac:dyDescent="0.25">
      <c r="A2357" s="66" t="s">
        <v>3133</v>
      </c>
      <c r="B2357" s="72" t="s">
        <v>55</v>
      </c>
      <c r="C2357" s="72" t="s">
        <v>3123</v>
      </c>
      <c r="D2357" s="174" t="s">
        <v>3124</v>
      </c>
      <c r="E2357" s="174"/>
      <c r="F2357" s="72" t="s">
        <v>203</v>
      </c>
      <c r="G2357" s="90">
        <v>1</v>
      </c>
      <c r="H2357" s="91"/>
      <c r="I2357" s="92" t="s">
        <v>63</v>
      </c>
      <c r="J2357" s="90">
        <f>G2357*AO2357</f>
        <v>0</v>
      </c>
      <c r="K2357" s="90">
        <f>G2357*AP2357</f>
        <v>0</v>
      </c>
      <c r="L2357" s="90">
        <f>G2357*H2357</f>
        <v>0</v>
      </c>
      <c r="M2357" s="90">
        <f>L2357*(1+BW2357/100)</f>
        <v>0</v>
      </c>
      <c r="N2357" s="90">
        <v>2.5000000000000001E-4</v>
      </c>
      <c r="O2357" s="90">
        <f>G2357*N2357</f>
        <v>2.5000000000000001E-4</v>
      </c>
      <c r="P2357" s="92" t="s">
        <v>64</v>
      </c>
      <c r="Z2357" s="93">
        <f>IF(AQ2357="5",BJ2357,0)</f>
        <v>0</v>
      </c>
      <c r="AB2357" s="93">
        <f>IF(AQ2357="1",BH2357,0)</f>
        <v>0</v>
      </c>
      <c r="AC2357" s="93">
        <f>IF(AQ2357="1",BI2357,0)</f>
        <v>0</v>
      </c>
      <c r="AD2357" s="93">
        <f>IF(AQ2357="7",BH2357,0)</f>
        <v>0</v>
      </c>
      <c r="AE2357" s="93">
        <f>IF(AQ2357="7",BI2357,0)</f>
        <v>0</v>
      </c>
      <c r="AF2357" s="93">
        <f>IF(AQ2357="2",BH2357,0)</f>
        <v>0</v>
      </c>
      <c r="AG2357" s="93">
        <f>IF(AQ2357="2",BI2357,0)</f>
        <v>0</v>
      </c>
      <c r="AH2357" s="93">
        <f>IF(AQ2357="0",BJ2357,0)</f>
        <v>0</v>
      </c>
      <c r="AI2357" s="88" t="s">
        <v>55</v>
      </c>
      <c r="AJ2357" s="93">
        <f>IF(AN2357=0,L2357,0)</f>
        <v>0</v>
      </c>
      <c r="AK2357" s="93">
        <f>IF(AN2357=12,L2357,0)</f>
        <v>0</v>
      </c>
      <c r="AL2357" s="93">
        <f>IF(AN2357=21,L2357,0)</f>
        <v>0</v>
      </c>
      <c r="AN2357" s="93">
        <v>21</v>
      </c>
      <c r="AO2357" s="93">
        <f>H2357*0.83721166</f>
        <v>0</v>
      </c>
      <c r="AP2357" s="93">
        <f>H2357*(1-0.83721166)</f>
        <v>0</v>
      </c>
      <c r="AQ2357" s="94" t="s">
        <v>148</v>
      </c>
      <c r="AV2357" s="93">
        <f>AW2357+AX2357</f>
        <v>0</v>
      </c>
      <c r="AW2357" s="93">
        <f>G2357*AO2357</f>
        <v>0</v>
      </c>
      <c r="AX2357" s="93">
        <f>G2357*AP2357</f>
        <v>0</v>
      </c>
      <c r="AY2357" s="94" t="s">
        <v>2926</v>
      </c>
      <c r="AZ2357" s="94" t="s">
        <v>2927</v>
      </c>
      <c r="BA2357" s="88" t="s">
        <v>67</v>
      </c>
      <c r="BC2357" s="93">
        <f>AW2357+AX2357</f>
        <v>0</v>
      </c>
      <c r="BD2357" s="93">
        <f>H2357/(100-BE2357)*100</f>
        <v>0</v>
      </c>
      <c r="BE2357" s="93">
        <v>0</v>
      </c>
      <c r="BF2357" s="93">
        <f>O2357</f>
        <v>2.5000000000000001E-4</v>
      </c>
      <c r="BH2357" s="93">
        <f>G2357*AO2357</f>
        <v>0</v>
      </c>
      <c r="BI2357" s="93">
        <f>G2357*AP2357</f>
        <v>0</v>
      </c>
      <c r="BJ2357" s="93">
        <f>G2357*H2357</f>
        <v>0</v>
      </c>
      <c r="BK2357" s="93"/>
      <c r="BL2357" s="93"/>
      <c r="BW2357" s="93" t="str">
        <f>I2357</f>
        <v>21</v>
      </c>
      <c r="BX2357" s="2" t="s">
        <v>3124</v>
      </c>
    </row>
    <row r="2358" spans="1:76" s="81" customFormat="1" ht="25.5" x14ac:dyDescent="0.25">
      <c r="A2358" s="66" t="s">
        <v>3135</v>
      </c>
      <c r="B2358" s="72" t="s">
        <v>55</v>
      </c>
      <c r="C2358" s="72" t="s">
        <v>3126</v>
      </c>
      <c r="D2358" s="174" t="s">
        <v>3127</v>
      </c>
      <c r="E2358" s="174"/>
      <c r="F2358" s="72" t="s">
        <v>222</v>
      </c>
      <c r="G2358" s="90">
        <v>475.21879999999999</v>
      </c>
      <c r="H2358" s="91"/>
      <c r="I2358" s="92" t="s">
        <v>63</v>
      </c>
      <c r="J2358" s="90">
        <f>G2358*AO2358</f>
        <v>0</v>
      </c>
      <c r="K2358" s="90">
        <f>G2358*AP2358</f>
        <v>0</v>
      </c>
      <c r="L2358" s="90">
        <f>G2358*H2358</f>
        <v>0</v>
      </c>
      <c r="M2358" s="90">
        <f>L2358*(1+BW2358/100)</f>
        <v>0</v>
      </c>
      <c r="N2358" s="90">
        <v>0</v>
      </c>
      <c r="O2358" s="90">
        <f>G2358*N2358</f>
        <v>0</v>
      </c>
      <c r="P2358" s="92" t="s">
        <v>64</v>
      </c>
      <c r="Z2358" s="93">
        <f>IF(AQ2358="5",BJ2358,0)</f>
        <v>0</v>
      </c>
      <c r="AB2358" s="93">
        <f>IF(AQ2358="1",BH2358,0)</f>
        <v>0</v>
      </c>
      <c r="AC2358" s="93">
        <f>IF(AQ2358="1",BI2358,0)</f>
        <v>0</v>
      </c>
      <c r="AD2358" s="93">
        <f>IF(AQ2358="7",BH2358,0)</f>
        <v>0</v>
      </c>
      <c r="AE2358" s="93">
        <f>IF(AQ2358="7",BI2358,0)</f>
        <v>0</v>
      </c>
      <c r="AF2358" s="93">
        <f>IF(AQ2358="2",BH2358,0)</f>
        <v>0</v>
      </c>
      <c r="AG2358" s="93">
        <f>IF(AQ2358="2",BI2358,0)</f>
        <v>0</v>
      </c>
      <c r="AH2358" s="93">
        <f>IF(AQ2358="0",BJ2358,0)</f>
        <v>0</v>
      </c>
      <c r="AI2358" s="88" t="s">
        <v>55</v>
      </c>
      <c r="AJ2358" s="93">
        <f>IF(AN2358=0,L2358,0)</f>
        <v>0</v>
      </c>
      <c r="AK2358" s="93">
        <f>IF(AN2358=12,L2358,0)</f>
        <v>0</v>
      </c>
      <c r="AL2358" s="93">
        <f>IF(AN2358=21,L2358,0)</f>
        <v>0</v>
      </c>
      <c r="AN2358" s="93">
        <v>21</v>
      </c>
      <c r="AO2358" s="93">
        <f>H2358*0</f>
        <v>0</v>
      </c>
      <c r="AP2358" s="93">
        <f>H2358*(1-0)</f>
        <v>0</v>
      </c>
      <c r="AQ2358" s="94" t="s">
        <v>136</v>
      </c>
      <c r="AV2358" s="93">
        <f>AW2358+AX2358</f>
        <v>0</v>
      </c>
      <c r="AW2358" s="93">
        <f>G2358*AO2358</f>
        <v>0</v>
      </c>
      <c r="AX2358" s="93">
        <f>G2358*AP2358</f>
        <v>0</v>
      </c>
      <c r="AY2358" s="94" t="s">
        <v>2926</v>
      </c>
      <c r="AZ2358" s="94" t="s">
        <v>2927</v>
      </c>
      <c r="BA2358" s="88" t="s">
        <v>67</v>
      </c>
      <c r="BC2358" s="93">
        <f>AW2358+AX2358</f>
        <v>0</v>
      </c>
      <c r="BD2358" s="93">
        <f>H2358/(100-BE2358)*100</f>
        <v>0</v>
      </c>
      <c r="BE2358" s="93">
        <v>0</v>
      </c>
      <c r="BF2358" s="93">
        <f>O2358</f>
        <v>0</v>
      </c>
      <c r="BH2358" s="93">
        <f>G2358*AO2358</f>
        <v>0</v>
      </c>
      <c r="BI2358" s="93">
        <f>G2358*AP2358</f>
        <v>0</v>
      </c>
      <c r="BJ2358" s="93">
        <f>G2358*H2358</f>
        <v>0</v>
      </c>
      <c r="BK2358" s="93"/>
      <c r="BL2358" s="93"/>
      <c r="BW2358" s="93" t="str">
        <f>I2358</f>
        <v>21</v>
      </c>
      <c r="BX2358" s="2" t="s">
        <v>3127</v>
      </c>
    </row>
    <row r="2359" spans="1:76" s="81" customFormat="1" x14ac:dyDescent="0.25">
      <c r="A2359" s="109" t="s">
        <v>54</v>
      </c>
      <c r="B2359" s="74" t="s">
        <v>55</v>
      </c>
      <c r="C2359" s="74" t="s">
        <v>3128</v>
      </c>
      <c r="D2359" s="180" t="s">
        <v>3129</v>
      </c>
      <c r="E2359" s="180"/>
      <c r="F2359" s="85" t="s">
        <v>4</v>
      </c>
      <c r="G2359" s="85" t="s">
        <v>4</v>
      </c>
      <c r="H2359" s="85" t="s">
        <v>4</v>
      </c>
      <c r="I2359" s="85" t="s">
        <v>4</v>
      </c>
      <c r="J2359" s="86">
        <f>SUM(J2360:J2535)</f>
        <v>0</v>
      </c>
      <c r="K2359" s="86">
        <f>SUM(K2360:K2535)</f>
        <v>0</v>
      </c>
      <c r="L2359" s="86">
        <f>SUM(L2360:L2535)</f>
        <v>0</v>
      </c>
      <c r="M2359" s="86">
        <f>SUM(M2360:M2535)</f>
        <v>0</v>
      </c>
      <c r="N2359" s="87" t="s">
        <v>54</v>
      </c>
      <c r="O2359" s="86">
        <f>SUM(O2360:O2535)</f>
        <v>170.9014369999999</v>
      </c>
      <c r="P2359" s="87" t="s">
        <v>54</v>
      </c>
      <c r="AI2359" s="88" t="s">
        <v>55</v>
      </c>
      <c r="AS2359" s="89">
        <f>SUM(AJ2360:AJ2535)</f>
        <v>0</v>
      </c>
      <c r="AT2359" s="89">
        <f>SUM(AK2360:AK2535)</f>
        <v>0</v>
      </c>
      <c r="AU2359" s="89">
        <f>SUM(AL2360:AL2535)</f>
        <v>0</v>
      </c>
    </row>
    <row r="2360" spans="1:76" s="81" customFormat="1" ht="25.5" x14ac:dyDescent="0.25">
      <c r="A2360" s="66" t="s">
        <v>3136</v>
      </c>
      <c r="B2360" s="72" t="s">
        <v>55</v>
      </c>
      <c r="C2360" s="72" t="s">
        <v>60</v>
      </c>
      <c r="D2360" s="174" t="s">
        <v>61</v>
      </c>
      <c r="E2360" s="174"/>
      <c r="F2360" s="72" t="s">
        <v>62</v>
      </c>
      <c r="G2360" s="90">
        <v>280.8</v>
      </c>
      <c r="H2360" s="91"/>
      <c r="I2360" s="92" t="s">
        <v>63</v>
      </c>
      <c r="J2360" s="90">
        <f>G2360*AO2360</f>
        <v>0</v>
      </c>
      <c r="K2360" s="90">
        <f>G2360*AP2360</f>
        <v>0</v>
      </c>
      <c r="L2360" s="90">
        <f>G2360*H2360</f>
        <v>0</v>
      </c>
      <c r="M2360" s="90">
        <f>L2360*(1+BW2360/100)</f>
        <v>0</v>
      </c>
      <c r="N2360" s="90">
        <v>0</v>
      </c>
      <c r="O2360" s="90">
        <f>G2360*N2360</f>
        <v>0</v>
      </c>
      <c r="P2360" s="92" t="s">
        <v>64</v>
      </c>
      <c r="Z2360" s="93">
        <f>IF(AQ2360="5",BJ2360,0)</f>
        <v>0</v>
      </c>
      <c r="AB2360" s="93">
        <f>IF(AQ2360="1",BH2360,0)</f>
        <v>0</v>
      </c>
      <c r="AC2360" s="93">
        <f>IF(AQ2360="1",BI2360,0)</f>
        <v>0</v>
      </c>
      <c r="AD2360" s="93">
        <f>IF(AQ2360="7",BH2360,0)</f>
        <v>0</v>
      </c>
      <c r="AE2360" s="93">
        <f>IF(AQ2360="7",BI2360,0)</f>
        <v>0</v>
      </c>
      <c r="AF2360" s="93">
        <f>IF(AQ2360="2",BH2360,0)</f>
        <v>0</v>
      </c>
      <c r="AG2360" s="93">
        <f>IF(AQ2360="2",BI2360,0)</f>
        <v>0</v>
      </c>
      <c r="AH2360" s="93">
        <f>IF(AQ2360="0",BJ2360,0)</f>
        <v>0</v>
      </c>
      <c r="AI2360" s="88" t="s">
        <v>55</v>
      </c>
      <c r="AJ2360" s="93">
        <f>IF(AN2360=0,L2360,0)</f>
        <v>0</v>
      </c>
      <c r="AK2360" s="93">
        <f>IF(AN2360=12,L2360,0)</f>
        <v>0</v>
      </c>
      <c r="AL2360" s="93">
        <f>IF(AN2360=21,L2360,0)</f>
        <v>0</v>
      </c>
      <c r="AN2360" s="93">
        <v>21</v>
      </c>
      <c r="AO2360" s="93">
        <f>H2360*0</f>
        <v>0</v>
      </c>
      <c r="AP2360" s="93">
        <f>H2360*(1-0)</f>
        <v>0</v>
      </c>
      <c r="AQ2360" s="94" t="s">
        <v>148</v>
      </c>
      <c r="AV2360" s="93">
        <f>AW2360+AX2360</f>
        <v>0</v>
      </c>
      <c r="AW2360" s="93">
        <f>G2360*AO2360</f>
        <v>0</v>
      </c>
      <c r="AX2360" s="93">
        <f>G2360*AP2360</f>
        <v>0</v>
      </c>
      <c r="AY2360" s="94" t="s">
        <v>3131</v>
      </c>
      <c r="AZ2360" s="94" t="s">
        <v>2927</v>
      </c>
      <c r="BA2360" s="88" t="s">
        <v>67</v>
      </c>
      <c r="BC2360" s="93">
        <f>AW2360+AX2360</f>
        <v>0</v>
      </c>
      <c r="BD2360" s="93">
        <f>H2360/(100-BE2360)*100</f>
        <v>0</v>
      </c>
      <c r="BE2360" s="93">
        <v>0</v>
      </c>
      <c r="BF2360" s="93">
        <f>O2360</f>
        <v>0</v>
      </c>
      <c r="BH2360" s="93">
        <f>G2360*AO2360</f>
        <v>0</v>
      </c>
      <c r="BI2360" s="93">
        <f>G2360*AP2360</f>
        <v>0</v>
      </c>
      <c r="BJ2360" s="93">
        <f>G2360*H2360</f>
        <v>0</v>
      </c>
      <c r="BK2360" s="93"/>
      <c r="BL2360" s="93"/>
      <c r="BW2360" s="93" t="str">
        <f>I2360</f>
        <v>21</v>
      </c>
      <c r="BX2360" s="2" t="s">
        <v>61</v>
      </c>
    </row>
    <row r="2361" spans="1:76" s="81" customFormat="1" x14ac:dyDescent="0.25">
      <c r="A2361" s="110"/>
      <c r="B2361" s="95"/>
      <c r="C2361" s="95"/>
      <c r="D2361" s="76" t="s">
        <v>3132</v>
      </c>
      <c r="E2361" s="76" t="s">
        <v>3008</v>
      </c>
      <c r="F2361" s="95"/>
      <c r="G2361" s="96">
        <v>280.8</v>
      </c>
      <c r="H2361" s="95"/>
      <c r="I2361" s="95"/>
      <c r="J2361" s="95"/>
      <c r="K2361" s="95"/>
      <c r="L2361" s="95"/>
      <c r="M2361" s="95"/>
      <c r="N2361" s="95"/>
      <c r="O2361" s="95"/>
      <c r="P2361" s="95"/>
    </row>
    <row r="2362" spans="1:76" s="81" customFormat="1" ht="25.5" x14ac:dyDescent="0.25">
      <c r="A2362" s="66" t="s">
        <v>3137</v>
      </c>
      <c r="B2362" s="72" t="s">
        <v>55</v>
      </c>
      <c r="C2362" s="72" t="s">
        <v>119</v>
      </c>
      <c r="D2362" s="174" t="s">
        <v>2943</v>
      </c>
      <c r="E2362" s="174"/>
      <c r="F2362" s="72" t="s">
        <v>62</v>
      </c>
      <c r="G2362" s="90">
        <v>140.4</v>
      </c>
      <c r="H2362" s="91"/>
      <c r="I2362" s="92" t="s">
        <v>63</v>
      </c>
      <c r="J2362" s="90">
        <f>G2362*AO2362</f>
        <v>0</v>
      </c>
      <c r="K2362" s="90">
        <f>G2362*AP2362</f>
        <v>0</v>
      </c>
      <c r="L2362" s="90">
        <f>G2362*H2362</f>
        <v>0</v>
      </c>
      <c r="M2362" s="90">
        <f>L2362*(1+BW2362/100)</f>
        <v>0</v>
      </c>
      <c r="N2362" s="90">
        <v>0</v>
      </c>
      <c r="O2362" s="90">
        <f>G2362*N2362</f>
        <v>0</v>
      </c>
      <c r="P2362" s="92" t="s">
        <v>64</v>
      </c>
      <c r="Z2362" s="93">
        <f>IF(AQ2362="5",BJ2362,0)</f>
        <v>0</v>
      </c>
      <c r="AB2362" s="93">
        <f>IF(AQ2362="1",BH2362,0)</f>
        <v>0</v>
      </c>
      <c r="AC2362" s="93">
        <f>IF(AQ2362="1",BI2362,0)</f>
        <v>0</v>
      </c>
      <c r="AD2362" s="93">
        <f>IF(AQ2362="7",BH2362,0)</f>
        <v>0</v>
      </c>
      <c r="AE2362" s="93">
        <f>IF(AQ2362="7",BI2362,0)</f>
        <v>0</v>
      </c>
      <c r="AF2362" s="93">
        <f>IF(AQ2362="2",BH2362,0)</f>
        <v>0</v>
      </c>
      <c r="AG2362" s="93">
        <f>IF(AQ2362="2",BI2362,0)</f>
        <v>0</v>
      </c>
      <c r="AH2362" s="93">
        <f>IF(AQ2362="0",BJ2362,0)</f>
        <v>0</v>
      </c>
      <c r="AI2362" s="88" t="s">
        <v>55</v>
      </c>
      <c r="AJ2362" s="93">
        <f>IF(AN2362=0,L2362,0)</f>
        <v>0</v>
      </c>
      <c r="AK2362" s="93">
        <f>IF(AN2362=12,L2362,0)</f>
        <v>0</v>
      </c>
      <c r="AL2362" s="93">
        <f>IF(AN2362=21,L2362,0)</f>
        <v>0</v>
      </c>
      <c r="AN2362" s="93">
        <v>21</v>
      </c>
      <c r="AO2362" s="93">
        <f>H2362*0</f>
        <v>0</v>
      </c>
      <c r="AP2362" s="93">
        <f>H2362*(1-0)</f>
        <v>0</v>
      </c>
      <c r="AQ2362" s="94" t="s">
        <v>148</v>
      </c>
      <c r="AV2362" s="93">
        <f>AW2362+AX2362</f>
        <v>0</v>
      </c>
      <c r="AW2362" s="93">
        <f>G2362*AO2362</f>
        <v>0</v>
      </c>
      <c r="AX2362" s="93">
        <f>G2362*AP2362</f>
        <v>0</v>
      </c>
      <c r="AY2362" s="94" t="s">
        <v>3131</v>
      </c>
      <c r="AZ2362" s="94" t="s">
        <v>2927</v>
      </c>
      <c r="BA2362" s="88" t="s">
        <v>67</v>
      </c>
      <c r="BC2362" s="93">
        <f>AW2362+AX2362</f>
        <v>0</v>
      </c>
      <c r="BD2362" s="93">
        <f>H2362/(100-BE2362)*100</f>
        <v>0</v>
      </c>
      <c r="BE2362" s="93">
        <v>0</v>
      </c>
      <c r="BF2362" s="93">
        <f>O2362</f>
        <v>0</v>
      </c>
      <c r="BH2362" s="93">
        <f>G2362*AO2362</f>
        <v>0</v>
      </c>
      <c r="BI2362" s="93">
        <f>G2362*AP2362</f>
        <v>0</v>
      </c>
      <c r="BJ2362" s="93">
        <f>G2362*H2362</f>
        <v>0</v>
      </c>
      <c r="BK2362" s="93"/>
      <c r="BL2362" s="93"/>
      <c r="BW2362" s="93" t="str">
        <f>I2362</f>
        <v>21</v>
      </c>
      <c r="BX2362" s="2" t="s">
        <v>2943</v>
      </c>
    </row>
    <row r="2363" spans="1:76" s="81" customFormat="1" x14ac:dyDescent="0.25">
      <c r="A2363" s="110"/>
      <c r="B2363" s="95"/>
      <c r="C2363" s="95"/>
      <c r="D2363" s="76" t="s">
        <v>3134</v>
      </c>
      <c r="E2363" s="76" t="s">
        <v>54</v>
      </c>
      <c r="F2363" s="95"/>
      <c r="G2363" s="96">
        <v>140.4</v>
      </c>
      <c r="H2363" s="95"/>
      <c r="I2363" s="95"/>
      <c r="J2363" s="95"/>
      <c r="K2363" s="95"/>
      <c r="L2363" s="95"/>
      <c r="M2363" s="95"/>
      <c r="N2363" s="95"/>
      <c r="O2363" s="95"/>
      <c r="P2363" s="95"/>
    </row>
    <row r="2364" spans="1:76" s="81" customFormat="1" ht="25.5" x14ac:dyDescent="0.25">
      <c r="A2364" s="66" t="s">
        <v>3140</v>
      </c>
      <c r="B2364" s="72" t="s">
        <v>55</v>
      </c>
      <c r="C2364" s="72" t="s">
        <v>2946</v>
      </c>
      <c r="D2364" s="174" t="s">
        <v>2947</v>
      </c>
      <c r="E2364" s="174"/>
      <c r="F2364" s="72" t="s">
        <v>192</v>
      </c>
      <c r="G2364" s="90">
        <v>140</v>
      </c>
      <c r="H2364" s="91"/>
      <c r="I2364" s="92" t="s">
        <v>63</v>
      </c>
      <c r="J2364" s="90">
        <f>G2364*AO2364</f>
        <v>0</v>
      </c>
      <c r="K2364" s="90">
        <f>G2364*AP2364</f>
        <v>0</v>
      </c>
      <c r="L2364" s="90">
        <f>G2364*H2364</f>
        <v>0</v>
      </c>
      <c r="M2364" s="90">
        <f>L2364*(1+BW2364/100)</f>
        <v>0</v>
      </c>
      <c r="N2364" s="90">
        <v>9.8999999999999999E-4</v>
      </c>
      <c r="O2364" s="90">
        <f>G2364*N2364</f>
        <v>0.1386</v>
      </c>
      <c r="P2364" s="92" t="s">
        <v>64</v>
      </c>
      <c r="Z2364" s="93">
        <f>IF(AQ2364="5",BJ2364,0)</f>
        <v>0</v>
      </c>
      <c r="AB2364" s="93">
        <f>IF(AQ2364="1",BH2364,0)</f>
        <v>0</v>
      </c>
      <c r="AC2364" s="93">
        <f>IF(AQ2364="1",BI2364,0)</f>
        <v>0</v>
      </c>
      <c r="AD2364" s="93">
        <f>IF(AQ2364="7",BH2364,0)</f>
        <v>0</v>
      </c>
      <c r="AE2364" s="93">
        <f>IF(AQ2364="7",BI2364,0)</f>
        <v>0</v>
      </c>
      <c r="AF2364" s="93">
        <f>IF(AQ2364="2",BH2364,0)</f>
        <v>0</v>
      </c>
      <c r="AG2364" s="93">
        <f>IF(AQ2364="2",BI2364,0)</f>
        <v>0</v>
      </c>
      <c r="AH2364" s="93">
        <f>IF(AQ2364="0",BJ2364,0)</f>
        <v>0</v>
      </c>
      <c r="AI2364" s="88" t="s">
        <v>55</v>
      </c>
      <c r="AJ2364" s="93">
        <f>IF(AN2364=0,L2364,0)</f>
        <v>0</v>
      </c>
      <c r="AK2364" s="93">
        <f>IF(AN2364=12,L2364,0)</f>
        <v>0</v>
      </c>
      <c r="AL2364" s="93">
        <f>IF(AN2364=21,L2364,0)</f>
        <v>0</v>
      </c>
      <c r="AN2364" s="93">
        <v>21</v>
      </c>
      <c r="AO2364" s="93">
        <f>H2364*0.085202974</f>
        <v>0</v>
      </c>
      <c r="AP2364" s="93">
        <f>H2364*(1-0.085202974)</f>
        <v>0</v>
      </c>
      <c r="AQ2364" s="94" t="s">
        <v>148</v>
      </c>
      <c r="AV2364" s="93">
        <f>AW2364+AX2364</f>
        <v>0</v>
      </c>
      <c r="AW2364" s="93">
        <f>G2364*AO2364</f>
        <v>0</v>
      </c>
      <c r="AX2364" s="93">
        <f>G2364*AP2364</f>
        <v>0</v>
      </c>
      <c r="AY2364" s="94" t="s">
        <v>3131</v>
      </c>
      <c r="AZ2364" s="94" t="s">
        <v>2927</v>
      </c>
      <c r="BA2364" s="88" t="s">
        <v>67</v>
      </c>
      <c r="BC2364" s="93">
        <f>AW2364+AX2364</f>
        <v>0</v>
      </c>
      <c r="BD2364" s="93">
        <f>H2364/(100-BE2364)*100</f>
        <v>0</v>
      </c>
      <c r="BE2364" s="93">
        <v>0</v>
      </c>
      <c r="BF2364" s="93">
        <f>O2364</f>
        <v>0.1386</v>
      </c>
      <c r="BH2364" s="93">
        <f>G2364*AO2364</f>
        <v>0</v>
      </c>
      <c r="BI2364" s="93">
        <f>G2364*AP2364</f>
        <v>0</v>
      </c>
      <c r="BJ2364" s="93">
        <f>G2364*H2364</f>
        <v>0</v>
      </c>
      <c r="BK2364" s="93"/>
      <c r="BL2364" s="93"/>
      <c r="BW2364" s="93" t="str">
        <f>I2364</f>
        <v>21</v>
      </c>
      <c r="BX2364" s="2" t="s">
        <v>2947</v>
      </c>
    </row>
    <row r="2365" spans="1:76" s="81" customFormat="1" ht="25.5" x14ac:dyDescent="0.25">
      <c r="A2365" s="66" t="s">
        <v>3142</v>
      </c>
      <c r="B2365" s="72" t="s">
        <v>55</v>
      </c>
      <c r="C2365" s="72" t="s">
        <v>2949</v>
      </c>
      <c r="D2365" s="174" t="s">
        <v>2950</v>
      </c>
      <c r="E2365" s="174"/>
      <c r="F2365" s="72" t="s">
        <v>192</v>
      </c>
      <c r="G2365" s="90">
        <v>140</v>
      </c>
      <c r="H2365" s="91"/>
      <c r="I2365" s="92" t="s">
        <v>63</v>
      </c>
      <c r="J2365" s="90">
        <f>G2365*AO2365</f>
        <v>0</v>
      </c>
      <c r="K2365" s="90">
        <f>G2365*AP2365</f>
        <v>0</v>
      </c>
      <c r="L2365" s="90">
        <f>G2365*H2365</f>
        <v>0</v>
      </c>
      <c r="M2365" s="90">
        <f>L2365*(1+BW2365/100)</f>
        <v>0</v>
      </c>
      <c r="N2365" s="90">
        <v>0</v>
      </c>
      <c r="O2365" s="90">
        <f>G2365*N2365</f>
        <v>0</v>
      </c>
      <c r="P2365" s="92" t="s">
        <v>64</v>
      </c>
      <c r="Z2365" s="93">
        <f>IF(AQ2365="5",BJ2365,0)</f>
        <v>0</v>
      </c>
      <c r="AB2365" s="93">
        <f>IF(AQ2365="1",BH2365,0)</f>
        <v>0</v>
      </c>
      <c r="AC2365" s="93">
        <f>IF(AQ2365="1",BI2365,0)</f>
        <v>0</v>
      </c>
      <c r="AD2365" s="93">
        <f>IF(AQ2365="7",BH2365,0)</f>
        <v>0</v>
      </c>
      <c r="AE2365" s="93">
        <f>IF(AQ2365="7",BI2365,0)</f>
        <v>0</v>
      </c>
      <c r="AF2365" s="93">
        <f>IF(AQ2365="2",BH2365,0)</f>
        <v>0</v>
      </c>
      <c r="AG2365" s="93">
        <f>IF(AQ2365="2",BI2365,0)</f>
        <v>0</v>
      </c>
      <c r="AH2365" s="93">
        <f>IF(AQ2365="0",BJ2365,0)</f>
        <v>0</v>
      </c>
      <c r="AI2365" s="88" t="s">
        <v>55</v>
      </c>
      <c r="AJ2365" s="93">
        <f>IF(AN2365=0,L2365,0)</f>
        <v>0</v>
      </c>
      <c r="AK2365" s="93">
        <f>IF(AN2365=12,L2365,0)</f>
        <v>0</v>
      </c>
      <c r="AL2365" s="93">
        <f>IF(AN2365=21,L2365,0)</f>
        <v>0</v>
      </c>
      <c r="AN2365" s="93">
        <v>21</v>
      </c>
      <c r="AO2365" s="93">
        <f>H2365*0</f>
        <v>0</v>
      </c>
      <c r="AP2365" s="93">
        <f>H2365*(1-0)</f>
        <v>0</v>
      </c>
      <c r="AQ2365" s="94" t="s">
        <v>148</v>
      </c>
      <c r="AV2365" s="93">
        <f>AW2365+AX2365</f>
        <v>0</v>
      </c>
      <c r="AW2365" s="93">
        <f>G2365*AO2365</f>
        <v>0</v>
      </c>
      <c r="AX2365" s="93">
        <f>G2365*AP2365</f>
        <v>0</v>
      </c>
      <c r="AY2365" s="94" t="s">
        <v>3131</v>
      </c>
      <c r="AZ2365" s="94" t="s">
        <v>2927</v>
      </c>
      <c r="BA2365" s="88" t="s">
        <v>67</v>
      </c>
      <c r="BC2365" s="93">
        <f>AW2365+AX2365</f>
        <v>0</v>
      </c>
      <c r="BD2365" s="93">
        <f>H2365/(100-BE2365)*100</f>
        <v>0</v>
      </c>
      <c r="BE2365" s="93">
        <v>0</v>
      </c>
      <c r="BF2365" s="93">
        <f>O2365</f>
        <v>0</v>
      </c>
      <c r="BH2365" s="93">
        <f>G2365*AO2365</f>
        <v>0</v>
      </c>
      <c r="BI2365" s="93">
        <f>G2365*AP2365</f>
        <v>0</v>
      </c>
      <c r="BJ2365" s="93">
        <f>G2365*H2365</f>
        <v>0</v>
      </c>
      <c r="BK2365" s="93"/>
      <c r="BL2365" s="93"/>
      <c r="BW2365" s="93" t="str">
        <f>I2365</f>
        <v>21</v>
      </c>
      <c r="BX2365" s="2" t="s">
        <v>2950</v>
      </c>
    </row>
    <row r="2366" spans="1:76" s="81" customFormat="1" ht="25.5" x14ac:dyDescent="0.25">
      <c r="A2366" s="66" t="s">
        <v>3144</v>
      </c>
      <c r="B2366" s="72" t="s">
        <v>55</v>
      </c>
      <c r="C2366" s="72" t="s">
        <v>3138</v>
      </c>
      <c r="D2366" s="174" t="s">
        <v>3139</v>
      </c>
      <c r="E2366" s="174"/>
      <c r="F2366" s="72" t="s">
        <v>62</v>
      </c>
      <c r="G2366" s="90">
        <v>280.8</v>
      </c>
      <c r="H2366" s="91"/>
      <c r="I2366" s="92" t="s">
        <v>63</v>
      </c>
      <c r="J2366" s="90">
        <f>G2366*AO2366</f>
        <v>0</v>
      </c>
      <c r="K2366" s="90">
        <f>G2366*AP2366</f>
        <v>0</v>
      </c>
      <c r="L2366" s="90">
        <f>G2366*H2366</f>
        <v>0</v>
      </c>
      <c r="M2366" s="90">
        <f>L2366*(1+BW2366/100)</f>
        <v>0</v>
      </c>
      <c r="N2366" s="90">
        <v>0</v>
      </c>
      <c r="O2366" s="90">
        <f>G2366*N2366</f>
        <v>0</v>
      </c>
      <c r="P2366" s="92" t="s">
        <v>64</v>
      </c>
      <c r="Z2366" s="93">
        <f>IF(AQ2366="5",BJ2366,0)</f>
        <v>0</v>
      </c>
      <c r="AB2366" s="93">
        <f>IF(AQ2366="1",BH2366,0)</f>
        <v>0</v>
      </c>
      <c r="AC2366" s="93">
        <f>IF(AQ2366="1",BI2366,0)</f>
        <v>0</v>
      </c>
      <c r="AD2366" s="93">
        <f>IF(AQ2366="7",BH2366,0)</f>
        <v>0</v>
      </c>
      <c r="AE2366" s="93">
        <f>IF(AQ2366="7",BI2366,0)</f>
        <v>0</v>
      </c>
      <c r="AF2366" s="93">
        <f>IF(AQ2366="2",BH2366,0)</f>
        <v>0</v>
      </c>
      <c r="AG2366" s="93">
        <f>IF(AQ2366="2",BI2366,0)</f>
        <v>0</v>
      </c>
      <c r="AH2366" s="93">
        <f>IF(AQ2366="0",BJ2366,0)</f>
        <v>0</v>
      </c>
      <c r="AI2366" s="88" t="s">
        <v>55</v>
      </c>
      <c r="AJ2366" s="93">
        <f>IF(AN2366=0,L2366,0)</f>
        <v>0</v>
      </c>
      <c r="AK2366" s="93">
        <f>IF(AN2366=12,L2366,0)</f>
        <v>0</v>
      </c>
      <c r="AL2366" s="93">
        <f>IF(AN2366=21,L2366,0)</f>
        <v>0</v>
      </c>
      <c r="AN2366" s="93">
        <v>21</v>
      </c>
      <c r="AO2366" s="93">
        <f>H2366*0</f>
        <v>0</v>
      </c>
      <c r="AP2366" s="93">
        <f>H2366*(1-0)</f>
        <v>0</v>
      </c>
      <c r="AQ2366" s="94" t="s">
        <v>148</v>
      </c>
      <c r="AV2366" s="93">
        <f>AW2366+AX2366</f>
        <v>0</v>
      </c>
      <c r="AW2366" s="93">
        <f>G2366*AO2366</f>
        <v>0</v>
      </c>
      <c r="AX2366" s="93">
        <f>G2366*AP2366</f>
        <v>0</v>
      </c>
      <c r="AY2366" s="94" t="s">
        <v>3131</v>
      </c>
      <c r="AZ2366" s="94" t="s">
        <v>2927</v>
      </c>
      <c r="BA2366" s="88" t="s">
        <v>67</v>
      </c>
      <c r="BC2366" s="93">
        <f>AW2366+AX2366</f>
        <v>0</v>
      </c>
      <c r="BD2366" s="93">
        <f>H2366/(100-BE2366)*100</f>
        <v>0</v>
      </c>
      <c r="BE2366" s="93">
        <v>0</v>
      </c>
      <c r="BF2366" s="93">
        <f>O2366</f>
        <v>0</v>
      </c>
      <c r="BH2366" s="93">
        <f>G2366*AO2366</f>
        <v>0</v>
      </c>
      <c r="BI2366" s="93">
        <f>G2366*AP2366</f>
        <v>0</v>
      </c>
      <c r="BJ2366" s="93">
        <f>G2366*H2366</f>
        <v>0</v>
      </c>
      <c r="BK2366" s="93"/>
      <c r="BL2366" s="93"/>
      <c r="BW2366" s="93" t="str">
        <f>I2366</f>
        <v>21</v>
      </c>
      <c r="BX2366" s="2" t="s">
        <v>3139</v>
      </c>
    </row>
    <row r="2367" spans="1:76" s="81" customFormat="1" ht="25.5" x14ac:dyDescent="0.25">
      <c r="A2367" s="66" t="s">
        <v>3146</v>
      </c>
      <c r="B2367" s="72" t="s">
        <v>55</v>
      </c>
      <c r="C2367" s="72" t="s">
        <v>2958</v>
      </c>
      <c r="D2367" s="174" t="s">
        <v>2959</v>
      </c>
      <c r="E2367" s="174"/>
      <c r="F2367" s="72" t="s">
        <v>62</v>
      </c>
      <c r="G2367" s="90">
        <v>464.4</v>
      </c>
      <c r="H2367" s="91"/>
      <c r="I2367" s="92" t="s">
        <v>63</v>
      </c>
      <c r="J2367" s="90">
        <f>G2367*AO2367</f>
        <v>0</v>
      </c>
      <c r="K2367" s="90">
        <f>G2367*AP2367</f>
        <v>0</v>
      </c>
      <c r="L2367" s="90">
        <f>G2367*H2367</f>
        <v>0</v>
      </c>
      <c r="M2367" s="90">
        <f>L2367*(1+BW2367/100)</f>
        <v>0</v>
      </c>
      <c r="N2367" s="90">
        <v>0</v>
      </c>
      <c r="O2367" s="90">
        <f>G2367*N2367</f>
        <v>0</v>
      </c>
      <c r="P2367" s="92" t="s">
        <v>64</v>
      </c>
      <c r="Z2367" s="93">
        <f>IF(AQ2367="5",BJ2367,0)</f>
        <v>0</v>
      </c>
      <c r="AB2367" s="93">
        <f>IF(AQ2367="1",BH2367,0)</f>
        <v>0</v>
      </c>
      <c r="AC2367" s="93">
        <f>IF(AQ2367="1",BI2367,0)</f>
        <v>0</v>
      </c>
      <c r="AD2367" s="93">
        <f>IF(AQ2367="7",BH2367,0)</f>
        <v>0</v>
      </c>
      <c r="AE2367" s="93">
        <f>IF(AQ2367="7",BI2367,0)</f>
        <v>0</v>
      </c>
      <c r="AF2367" s="93">
        <f>IF(AQ2367="2",BH2367,0)</f>
        <v>0</v>
      </c>
      <c r="AG2367" s="93">
        <f>IF(AQ2367="2",BI2367,0)</f>
        <v>0</v>
      </c>
      <c r="AH2367" s="93">
        <f>IF(AQ2367="0",BJ2367,0)</f>
        <v>0</v>
      </c>
      <c r="AI2367" s="88" t="s">
        <v>55</v>
      </c>
      <c r="AJ2367" s="93">
        <f>IF(AN2367=0,L2367,0)</f>
        <v>0</v>
      </c>
      <c r="AK2367" s="93">
        <f>IF(AN2367=12,L2367,0)</f>
        <v>0</v>
      </c>
      <c r="AL2367" s="93">
        <f>IF(AN2367=21,L2367,0)</f>
        <v>0</v>
      </c>
      <c r="AN2367" s="93">
        <v>21</v>
      </c>
      <c r="AO2367" s="93">
        <f>H2367*0</f>
        <v>0</v>
      </c>
      <c r="AP2367" s="93">
        <f>H2367*(1-0)</f>
        <v>0</v>
      </c>
      <c r="AQ2367" s="94" t="s">
        <v>148</v>
      </c>
      <c r="AV2367" s="93">
        <f>AW2367+AX2367</f>
        <v>0</v>
      </c>
      <c r="AW2367" s="93">
        <f>G2367*AO2367</f>
        <v>0</v>
      </c>
      <c r="AX2367" s="93">
        <f>G2367*AP2367</f>
        <v>0</v>
      </c>
      <c r="AY2367" s="94" t="s">
        <v>3131</v>
      </c>
      <c r="AZ2367" s="94" t="s">
        <v>2927</v>
      </c>
      <c r="BA2367" s="88" t="s">
        <v>67</v>
      </c>
      <c r="BC2367" s="93">
        <f>AW2367+AX2367</f>
        <v>0</v>
      </c>
      <c r="BD2367" s="93">
        <f>H2367/(100-BE2367)*100</f>
        <v>0</v>
      </c>
      <c r="BE2367" s="93">
        <v>0</v>
      </c>
      <c r="BF2367" s="93">
        <f>O2367</f>
        <v>0</v>
      </c>
      <c r="BH2367" s="93">
        <f>G2367*AO2367</f>
        <v>0</v>
      </c>
      <c r="BI2367" s="93">
        <f>G2367*AP2367</f>
        <v>0</v>
      </c>
      <c r="BJ2367" s="93">
        <f>G2367*H2367</f>
        <v>0</v>
      </c>
      <c r="BK2367" s="93"/>
      <c r="BL2367" s="93"/>
      <c r="BW2367" s="93" t="str">
        <f>I2367</f>
        <v>21</v>
      </c>
      <c r="BX2367" s="2" t="s">
        <v>2959</v>
      </c>
    </row>
    <row r="2368" spans="1:76" s="81" customFormat="1" x14ac:dyDescent="0.25">
      <c r="A2368" s="110"/>
      <c r="B2368" s="95"/>
      <c r="C2368" s="95"/>
      <c r="D2368" s="76" t="s">
        <v>3141</v>
      </c>
      <c r="E2368" s="76" t="s">
        <v>2961</v>
      </c>
      <c r="F2368" s="95"/>
      <c r="G2368" s="96">
        <v>464.4</v>
      </c>
      <c r="H2368" s="95"/>
      <c r="I2368" s="95"/>
      <c r="J2368" s="95"/>
      <c r="K2368" s="95"/>
      <c r="L2368" s="95"/>
      <c r="M2368" s="95"/>
      <c r="N2368" s="95"/>
      <c r="O2368" s="95"/>
      <c r="P2368" s="95"/>
    </row>
    <row r="2369" spans="1:76" s="81" customFormat="1" ht="25.5" x14ac:dyDescent="0.25">
      <c r="A2369" s="66" t="s">
        <v>3147</v>
      </c>
      <c r="B2369" s="72" t="s">
        <v>55</v>
      </c>
      <c r="C2369" s="72" t="s">
        <v>145</v>
      </c>
      <c r="D2369" s="174" t="s">
        <v>146</v>
      </c>
      <c r="E2369" s="174"/>
      <c r="F2369" s="72" t="s">
        <v>62</v>
      </c>
      <c r="G2369" s="90">
        <v>97.2</v>
      </c>
      <c r="H2369" s="91"/>
      <c r="I2369" s="92" t="s">
        <v>63</v>
      </c>
      <c r="J2369" s="90">
        <f>G2369*AO2369</f>
        <v>0</v>
      </c>
      <c r="K2369" s="90">
        <f>G2369*AP2369</f>
        <v>0</v>
      </c>
      <c r="L2369" s="90">
        <f>G2369*H2369</f>
        <v>0</v>
      </c>
      <c r="M2369" s="90">
        <f>L2369*(1+BW2369/100)</f>
        <v>0</v>
      </c>
      <c r="N2369" s="90">
        <v>0</v>
      </c>
      <c r="O2369" s="90">
        <f>G2369*N2369</f>
        <v>0</v>
      </c>
      <c r="P2369" s="92" t="s">
        <v>64</v>
      </c>
      <c r="Z2369" s="93">
        <f>IF(AQ2369="5",BJ2369,0)</f>
        <v>0</v>
      </c>
      <c r="AB2369" s="93">
        <f>IF(AQ2369="1",BH2369,0)</f>
        <v>0</v>
      </c>
      <c r="AC2369" s="93">
        <f>IF(AQ2369="1",BI2369,0)</f>
        <v>0</v>
      </c>
      <c r="AD2369" s="93">
        <f>IF(AQ2369="7",BH2369,0)</f>
        <v>0</v>
      </c>
      <c r="AE2369" s="93">
        <f>IF(AQ2369="7",BI2369,0)</f>
        <v>0</v>
      </c>
      <c r="AF2369" s="93">
        <f>IF(AQ2369="2",BH2369,0)</f>
        <v>0</v>
      </c>
      <c r="AG2369" s="93">
        <f>IF(AQ2369="2",BI2369,0)</f>
        <v>0</v>
      </c>
      <c r="AH2369" s="93">
        <f>IF(AQ2369="0",BJ2369,0)</f>
        <v>0</v>
      </c>
      <c r="AI2369" s="88" t="s">
        <v>55</v>
      </c>
      <c r="AJ2369" s="93">
        <f>IF(AN2369=0,L2369,0)</f>
        <v>0</v>
      </c>
      <c r="AK2369" s="93">
        <f>IF(AN2369=12,L2369,0)</f>
        <v>0</v>
      </c>
      <c r="AL2369" s="93">
        <f>IF(AN2369=21,L2369,0)</f>
        <v>0</v>
      </c>
      <c r="AN2369" s="93">
        <v>21</v>
      </c>
      <c r="AO2369" s="93">
        <f>H2369*0</f>
        <v>0</v>
      </c>
      <c r="AP2369" s="93">
        <f>H2369*(1-0)</f>
        <v>0</v>
      </c>
      <c r="AQ2369" s="94" t="s">
        <v>148</v>
      </c>
      <c r="AV2369" s="93">
        <f>AW2369+AX2369</f>
        <v>0</v>
      </c>
      <c r="AW2369" s="93">
        <f>G2369*AO2369</f>
        <v>0</v>
      </c>
      <c r="AX2369" s="93">
        <f>G2369*AP2369</f>
        <v>0</v>
      </c>
      <c r="AY2369" s="94" t="s">
        <v>3131</v>
      </c>
      <c r="AZ2369" s="94" t="s">
        <v>2927</v>
      </c>
      <c r="BA2369" s="88" t="s">
        <v>67</v>
      </c>
      <c r="BC2369" s="93">
        <f>AW2369+AX2369</f>
        <v>0</v>
      </c>
      <c r="BD2369" s="93">
        <f>H2369/(100-BE2369)*100</f>
        <v>0</v>
      </c>
      <c r="BE2369" s="93">
        <v>0</v>
      </c>
      <c r="BF2369" s="93">
        <f>O2369</f>
        <v>0</v>
      </c>
      <c r="BH2369" s="93">
        <f>G2369*AO2369</f>
        <v>0</v>
      </c>
      <c r="BI2369" s="93">
        <f>G2369*AP2369</f>
        <v>0</v>
      </c>
      <c r="BJ2369" s="93">
        <f>G2369*H2369</f>
        <v>0</v>
      </c>
      <c r="BK2369" s="93"/>
      <c r="BL2369" s="93"/>
      <c r="BW2369" s="93" t="str">
        <f>I2369</f>
        <v>21</v>
      </c>
      <c r="BX2369" s="2" t="s">
        <v>146</v>
      </c>
    </row>
    <row r="2370" spans="1:76" s="81" customFormat="1" x14ac:dyDescent="0.25">
      <c r="A2370" s="110"/>
      <c r="B2370" s="95"/>
      <c r="C2370" s="95"/>
      <c r="D2370" s="76" t="s">
        <v>3143</v>
      </c>
      <c r="E2370" s="76" t="s">
        <v>54</v>
      </c>
      <c r="F2370" s="95"/>
      <c r="G2370" s="96">
        <v>97.2</v>
      </c>
      <c r="H2370" s="95"/>
      <c r="I2370" s="95"/>
      <c r="J2370" s="95"/>
      <c r="K2370" s="95"/>
      <c r="L2370" s="95"/>
      <c r="M2370" s="95"/>
      <c r="N2370" s="95"/>
      <c r="O2370" s="95"/>
      <c r="P2370" s="95"/>
    </row>
    <row r="2371" spans="1:76" s="81" customFormat="1" ht="25.5" x14ac:dyDescent="0.25">
      <c r="A2371" s="66" t="s">
        <v>3149</v>
      </c>
      <c r="B2371" s="72" t="s">
        <v>55</v>
      </c>
      <c r="C2371" s="72" t="s">
        <v>149</v>
      </c>
      <c r="D2371" s="174" t="s">
        <v>150</v>
      </c>
      <c r="E2371" s="174"/>
      <c r="F2371" s="72" t="s">
        <v>62</v>
      </c>
      <c r="G2371" s="90">
        <v>972</v>
      </c>
      <c r="H2371" s="91"/>
      <c r="I2371" s="92" t="s">
        <v>63</v>
      </c>
      <c r="J2371" s="90">
        <f>G2371*AO2371</f>
        <v>0</v>
      </c>
      <c r="K2371" s="90">
        <f>G2371*AP2371</f>
        <v>0</v>
      </c>
      <c r="L2371" s="90">
        <f>G2371*H2371</f>
        <v>0</v>
      </c>
      <c r="M2371" s="90">
        <f>L2371*(1+BW2371/100)</f>
        <v>0</v>
      </c>
      <c r="N2371" s="90">
        <v>0</v>
      </c>
      <c r="O2371" s="90">
        <f>G2371*N2371</f>
        <v>0</v>
      </c>
      <c r="P2371" s="92" t="s">
        <v>64</v>
      </c>
      <c r="Z2371" s="93">
        <f>IF(AQ2371="5",BJ2371,0)</f>
        <v>0</v>
      </c>
      <c r="AB2371" s="93">
        <f>IF(AQ2371="1",BH2371,0)</f>
        <v>0</v>
      </c>
      <c r="AC2371" s="93">
        <f>IF(AQ2371="1",BI2371,0)</f>
        <v>0</v>
      </c>
      <c r="AD2371" s="93">
        <f>IF(AQ2371="7",BH2371,0)</f>
        <v>0</v>
      </c>
      <c r="AE2371" s="93">
        <f>IF(AQ2371="7",BI2371,0)</f>
        <v>0</v>
      </c>
      <c r="AF2371" s="93">
        <f>IF(AQ2371="2",BH2371,0)</f>
        <v>0</v>
      </c>
      <c r="AG2371" s="93">
        <f>IF(AQ2371="2",BI2371,0)</f>
        <v>0</v>
      </c>
      <c r="AH2371" s="93">
        <f>IF(AQ2371="0",BJ2371,0)</f>
        <v>0</v>
      </c>
      <c r="AI2371" s="88" t="s">
        <v>55</v>
      </c>
      <c r="AJ2371" s="93">
        <f>IF(AN2371=0,L2371,0)</f>
        <v>0</v>
      </c>
      <c r="AK2371" s="93">
        <f>IF(AN2371=12,L2371,0)</f>
        <v>0</v>
      </c>
      <c r="AL2371" s="93">
        <f>IF(AN2371=21,L2371,0)</f>
        <v>0</v>
      </c>
      <c r="AN2371" s="93">
        <v>21</v>
      </c>
      <c r="AO2371" s="93">
        <f>H2371*0</f>
        <v>0</v>
      </c>
      <c r="AP2371" s="93">
        <f>H2371*(1-0)</f>
        <v>0</v>
      </c>
      <c r="AQ2371" s="94" t="s">
        <v>148</v>
      </c>
      <c r="AV2371" s="93">
        <f>AW2371+AX2371</f>
        <v>0</v>
      </c>
      <c r="AW2371" s="93">
        <f>G2371*AO2371</f>
        <v>0</v>
      </c>
      <c r="AX2371" s="93">
        <f>G2371*AP2371</f>
        <v>0</v>
      </c>
      <c r="AY2371" s="94" t="s">
        <v>3131</v>
      </c>
      <c r="AZ2371" s="94" t="s">
        <v>2927</v>
      </c>
      <c r="BA2371" s="88" t="s">
        <v>67</v>
      </c>
      <c r="BC2371" s="93">
        <f>AW2371+AX2371</f>
        <v>0</v>
      </c>
      <c r="BD2371" s="93">
        <f>H2371/(100-BE2371)*100</f>
        <v>0</v>
      </c>
      <c r="BE2371" s="93">
        <v>0</v>
      </c>
      <c r="BF2371" s="93">
        <f>O2371</f>
        <v>0</v>
      </c>
      <c r="BH2371" s="93">
        <f>G2371*AO2371</f>
        <v>0</v>
      </c>
      <c r="BI2371" s="93">
        <f>G2371*AP2371</f>
        <v>0</v>
      </c>
      <c r="BJ2371" s="93">
        <f>G2371*H2371</f>
        <v>0</v>
      </c>
      <c r="BK2371" s="93"/>
      <c r="BL2371" s="93"/>
      <c r="BW2371" s="93" t="str">
        <f>I2371</f>
        <v>21</v>
      </c>
      <c r="BX2371" s="2" t="s">
        <v>150</v>
      </c>
    </row>
    <row r="2372" spans="1:76" s="81" customFormat="1" x14ac:dyDescent="0.25">
      <c r="A2372" s="110"/>
      <c r="B2372" s="95"/>
      <c r="C2372" s="95"/>
      <c r="D2372" s="76" t="s">
        <v>3145</v>
      </c>
      <c r="E2372" s="76" t="s">
        <v>54</v>
      </c>
      <c r="F2372" s="95"/>
      <c r="G2372" s="96">
        <v>972</v>
      </c>
      <c r="H2372" s="95"/>
      <c r="I2372" s="95"/>
      <c r="J2372" s="95"/>
      <c r="K2372" s="95"/>
      <c r="L2372" s="95"/>
      <c r="M2372" s="95"/>
      <c r="N2372" s="95"/>
      <c r="O2372" s="95"/>
      <c r="P2372" s="95"/>
    </row>
    <row r="2373" spans="1:76" s="81" customFormat="1" ht="25.5" x14ac:dyDescent="0.25">
      <c r="A2373" s="66" t="s">
        <v>3153</v>
      </c>
      <c r="B2373" s="72" t="s">
        <v>55</v>
      </c>
      <c r="C2373" s="72" t="s">
        <v>153</v>
      </c>
      <c r="D2373" s="174" t="s">
        <v>154</v>
      </c>
      <c r="E2373" s="174"/>
      <c r="F2373" s="72" t="s">
        <v>62</v>
      </c>
      <c r="G2373" s="90">
        <v>97.2</v>
      </c>
      <c r="H2373" s="91"/>
      <c r="I2373" s="92" t="s">
        <v>63</v>
      </c>
      <c r="J2373" s="90">
        <f>G2373*AO2373</f>
        <v>0</v>
      </c>
      <c r="K2373" s="90">
        <f>G2373*AP2373</f>
        <v>0</v>
      </c>
      <c r="L2373" s="90">
        <f>G2373*H2373</f>
        <v>0</v>
      </c>
      <c r="M2373" s="90">
        <f>L2373*(1+BW2373/100)</f>
        <v>0</v>
      </c>
      <c r="N2373" s="90">
        <v>0</v>
      </c>
      <c r="O2373" s="90">
        <f>G2373*N2373</f>
        <v>0</v>
      </c>
      <c r="P2373" s="92" t="s">
        <v>64</v>
      </c>
      <c r="Z2373" s="93">
        <f>IF(AQ2373="5",BJ2373,0)</f>
        <v>0</v>
      </c>
      <c r="AB2373" s="93">
        <f>IF(AQ2373="1",BH2373,0)</f>
        <v>0</v>
      </c>
      <c r="AC2373" s="93">
        <f>IF(AQ2373="1",BI2373,0)</f>
        <v>0</v>
      </c>
      <c r="AD2373" s="93">
        <f>IF(AQ2373="7",BH2373,0)</f>
        <v>0</v>
      </c>
      <c r="AE2373" s="93">
        <f>IF(AQ2373="7",BI2373,0)</f>
        <v>0</v>
      </c>
      <c r="AF2373" s="93">
        <f>IF(AQ2373="2",BH2373,0)</f>
        <v>0</v>
      </c>
      <c r="AG2373" s="93">
        <f>IF(AQ2373="2",BI2373,0)</f>
        <v>0</v>
      </c>
      <c r="AH2373" s="93">
        <f>IF(AQ2373="0",BJ2373,0)</f>
        <v>0</v>
      </c>
      <c r="AI2373" s="88" t="s">
        <v>55</v>
      </c>
      <c r="AJ2373" s="93">
        <f>IF(AN2373=0,L2373,0)</f>
        <v>0</v>
      </c>
      <c r="AK2373" s="93">
        <f>IF(AN2373=12,L2373,0)</f>
        <v>0</v>
      </c>
      <c r="AL2373" s="93">
        <f>IF(AN2373=21,L2373,0)</f>
        <v>0</v>
      </c>
      <c r="AN2373" s="93">
        <v>21</v>
      </c>
      <c r="AO2373" s="93">
        <f>H2373*0</f>
        <v>0</v>
      </c>
      <c r="AP2373" s="93">
        <f>H2373*(1-0)</f>
        <v>0</v>
      </c>
      <c r="AQ2373" s="94" t="s">
        <v>148</v>
      </c>
      <c r="AV2373" s="93">
        <f>AW2373+AX2373</f>
        <v>0</v>
      </c>
      <c r="AW2373" s="93">
        <f>G2373*AO2373</f>
        <v>0</v>
      </c>
      <c r="AX2373" s="93">
        <f>G2373*AP2373</f>
        <v>0</v>
      </c>
      <c r="AY2373" s="94" t="s">
        <v>3131</v>
      </c>
      <c r="AZ2373" s="94" t="s">
        <v>2927</v>
      </c>
      <c r="BA2373" s="88" t="s">
        <v>67</v>
      </c>
      <c r="BC2373" s="93">
        <f>AW2373+AX2373</f>
        <v>0</v>
      </c>
      <c r="BD2373" s="93">
        <f>H2373/(100-BE2373)*100</f>
        <v>0</v>
      </c>
      <c r="BE2373" s="93">
        <v>0</v>
      </c>
      <c r="BF2373" s="93">
        <f>O2373</f>
        <v>0</v>
      </c>
      <c r="BH2373" s="93">
        <f>G2373*AO2373</f>
        <v>0</v>
      </c>
      <c r="BI2373" s="93">
        <f>G2373*AP2373</f>
        <v>0</v>
      </c>
      <c r="BJ2373" s="93">
        <f>G2373*H2373</f>
        <v>0</v>
      </c>
      <c r="BK2373" s="93"/>
      <c r="BL2373" s="93"/>
      <c r="BW2373" s="93" t="str">
        <f>I2373</f>
        <v>21</v>
      </c>
      <c r="BX2373" s="2" t="s">
        <v>154</v>
      </c>
    </row>
    <row r="2374" spans="1:76" s="81" customFormat="1" x14ac:dyDescent="0.25">
      <c r="A2374" s="110"/>
      <c r="B2374" s="95"/>
      <c r="C2374" s="95"/>
      <c r="D2374" s="76" t="s">
        <v>3143</v>
      </c>
      <c r="E2374" s="76" t="s">
        <v>54</v>
      </c>
      <c r="F2374" s="95"/>
      <c r="G2374" s="96">
        <v>97.2</v>
      </c>
      <c r="H2374" s="95"/>
      <c r="I2374" s="95"/>
      <c r="J2374" s="95"/>
      <c r="K2374" s="95"/>
      <c r="L2374" s="95"/>
      <c r="M2374" s="95"/>
      <c r="N2374" s="95"/>
      <c r="O2374" s="95"/>
      <c r="P2374" s="95"/>
    </row>
    <row r="2375" spans="1:76" s="81" customFormat="1" ht="25.5" x14ac:dyDescent="0.25">
      <c r="A2375" s="66" t="s">
        <v>3155</v>
      </c>
      <c r="B2375" s="72" t="s">
        <v>55</v>
      </c>
      <c r="C2375" s="72" t="s">
        <v>156</v>
      </c>
      <c r="D2375" s="174" t="s">
        <v>2969</v>
      </c>
      <c r="E2375" s="174"/>
      <c r="F2375" s="72" t="s">
        <v>62</v>
      </c>
      <c r="G2375" s="90">
        <v>280.8</v>
      </c>
      <c r="H2375" s="91"/>
      <c r="I2375" s="92" t="s">
        <v>63</v>
      </c>
      <c r="J2375" s="90">
        <f>G2375*AO2375</f>
        <v>0</v>
      </c>
      <c r="K2375" s="90">
        <f>G2375*AP2375</f>
        <v>0</v>
      </c>
      <c r="L2375" s="90">
        <f>G2375*H2375</f>
        <v>0</v>
      </c>
      <c r="M2375" s="90">
        <f>L2375*(1+BW2375/100)</f>
        <v>0</v>
      </c>
      <c r="N2375" s="90">
        <v>0</v>
      </c>
      <c r="O2375" s="90">
        <f>G2375*N2375</f>
        <v>0</v>
      </c>
      <c r="P2375" s="92" t="s">
        <v>64</v>
      </c>
      <c r="Z2375" s="93">
        <f>IF(AQ2375="5",BJ2375,0)</f>
        <v>0</v>
      </c>
      <c r="AB2375" s="93">
        <f>IF(AQ2375="1",BH2375,0)</f>
        <v>0</v>
      </c>
      <c r="AC2375" s="93">
        <f>IF(AQ2375="1",BI2375,0)</f>
        <v>0</v>
      </c>
      <c r="AD2375" s="93">
        <f>IF(AQ2375="7",BH2375,0)</f>
        <v>0</v>
      </c>
      <c r="AE2375" s="93">
        <f>IF(AQ2375="7",BI2375,0)</f>
        <v>0</v>
      </c>
      <c r="AF2375" s="93">
        <f>IF(AQ2375="2",BH2375,0)</f>
        <v>0</v>
      </c>
      <c r="AG2375" s="93">
        <f>IF(AQ2375="2",BI2375,0)</f>
        <v>0</v>
      </c>
      <c r="AH2375" s="93">
        <f>IF(AQ2375="0",BJ2375,0)</f>
        <v>0</v>
      </c>
      <c r="AI2375" s="88" t="s">
        <v>55</v>
      </c>
      <c r="AJ2375" s="93">
        <f>IF(AN2375=0,L2375,0)</f>
        <v>0</v>
      </c>
      <c r="AK2375" s="93">
        <f>IF(AN2375=12,L2375,0)</f>
        <v>0</v>
      </c>
      <c r="AL2375" s="93">
        <f>IF(AN2375=21,L2375,0)</f>
        <v>0</v>
      </c>
      <c r="AN2375" s="93">
        <v>21</v>
      </c>
      <c r="AO2375" s="93">
        <f>H2375*0</f>
        <v>0</v>
      </c>
      <c r="AP2375" s="93">
        <f>H2375*(1-0)</f>
        <v>0</v>
      </c>
      <c r="AQ2375" s="94" t="s">
        <v>148</v>
      </c>
      <c r="AV2375" s="93">
        <f>AW2375+AX2375</f>
        <v>0</v>
      </c>
      <c r="AW2375" s="93">
        <f>G2375*AO2375</f>
        <v>0</v>
      </c>
      <c r="AX2375" s="93">
        <f>G2375*AP2375</f>
        <v>0</v>
      </c>
      <c r="AY2375" s="94" t="s">
        <v>3131</v>
      </c>
      <c r="AZ2375" s="94" t="s">
        <v>2927</v>
      </c>
      <c r="BA2375" s="88" t="s">
        <v>67</v>
      </c>
      <c r="BC2375" s="93">
        <f>AW2375+AX2375</f>
        <v>0</v>
      </c>
      <c r="BD2375" s="93">
        <f>H2375/(100-BE2375)*100</f>
        <v>0</v>
      </c>
      <c r="BE2375" s="93">
        <v>0</v>
      </c>
      <c r="BF2375" s="93">
        <f>O2375</f>
        <v>0</v>
      </c>
      <c r="BH2375" s="93">
        <f>G2375*AO2375</f>
        <v>0</v>
      </c>
      <c r="BI2375" s="93">
        <f>G2375*AP2375</f>
        <v>0</v>
      </c>
      <c r="BJ2375" s="93">
        <f>G2375*H2375</f>
        <v>0</v>
      </c>
      <c r="BK2375" s="93"/>
      <c r="BL2375" s="93"/>
      <c r="BW2375" s="93" t="str">
        <f>I2375</f>
        <v>21</v>
      </c>
      <c r="BX2375" s="2" t="s">
        <v>2969</v>
      </c>
    </row>
    <row r="2376" spans="1:76" s="81" customFormat="1" x14ac:dyDescent="0.25">
      <c r="A2376" s="110"/>
      <c r="B2376" s="95"/>
      <c r="C2376" s="95"/>
      <c r="D2376" s="76" t="s">
        <v>3143</v>
      </c>
      <c r="E2376" s="76" t="s">
        <v>2970</v>
      </c>
      <c r="F2376" s="95"/>
      <c r="G2376" s="96">
        <v>97.2</v>
      </c>
      <c r="H2376" s="95"/>
      <c r="I2376" s="95"/>
      <c r="J2376" s="95"/>
      <c r="K2376" s="95"/>
      <c r="L2376" s="95"/>
      <c r="M2376" s="95"/>
      <c r="N2376" s="95"/>
      <c r="O2376" s="95"/>
      <c r="P2376" s="95"/>
    </row>
    <row r="2377" spans="1:76" s="81" customFormat="1" x14ac:dyDescent="0.25">
      <c r="A2377" s="110"/>
      <c r="B2377" s="95"/>
      <c r="C2377" s="95"/>
      <c r="D2377" s="76" t="s">
        <v>3148</v>
      </c>
      <c r="E2377" s="76" t="s">
        <v>2972</v>
      </c>
      <c r="F2377" s="95"/>
      <c r="G2377" s="96">
        <v>183.6</v>
      </c>
      <c r="H2377" s="95"/>
      <c r="I2377" s="95"/>
      <c r="J2377" s="95"/>
      <c r="K2377" s="95"/>
      <c r="L2377" s="95"/>
      <c r="M2377" s="95"/>
      <c r="N2377" s="95"/>
      <c r="O2377" s="95"/>
      <c r="P2377" s="95"/>
    </row>
    <row r="2378" spans="1:76" s="81" customFormat="1" ht="25.5" x14ac:dyDescent="0.25">
      <c r="A2378" s="66" t="s">
        <v>3159</v>
      </c>
      <c r="B2378" s="72" t="s">
        <v>55</v>
      </c>
      <c r="C2378" s="72" t="s">
        <v>2981</v>
      </c>
      <c r="D2378" s="174" t="s">
        <v>3150</v>
      </c>
      <c r="E2378" s="174"/>
      <c r="F2378" s="72" t="s">
        <v>62</v>
      </c>
      <c r="G2378" s="90">
        <v>75.599999999999994</v>
      </c>
      <c r="H2378" s="91"/>
      <c r="I2378" s="92" t="s">
        <v>63</v>
      </c>
      <c r="J2378" s="90">
        <f>G2378*AO2378</f>
        <v>0</v>
      </c>
      <c r="K2378" s="90">
        <f>G2378*AP2378</f>
        <v>0</v>
      </c>
      <c r="L2378" s="90">
        <f>G2378*H2378</f>
        <v>0</v>
      </c>
      <c r="M2378" s="90">
        <f>L2378*(1+BW2378/100)</f>
        <v>0</v>
      </c>
      <c r="N2378" s="90">
        <v>1.67</v>
      </c>
      <c r="O2378" s="90">
        <f>G2378*N2378</f>
        <v>126.25199999999998</v>
      </c>
      <c r="P2378" s="92" t="s">
        <v>64</v>
      </c>
      <c r="Z2378" s="93">
        <f>IF(AQ2378="5",BJ2378,0)</f>
        <v>0</v>
      </c>
      <c r="AB2378" s="93">
        <f>IF(AQ2378="1",BH2378,0)</f>
        <v>0</v>
      </c>
      <c r="AC2378" s="93">
        <f>IF(AQ2378="1",BI2378,0)</f>
        <v>0</v>
      </c>
      <c r="AD2378" s="93">
        <f>IF(AQ2378="7",BH2378,0)</f>
        <v>0</v>
      </c>
      <c r="AE2378" s="93">
        <f>IF(AQ2378="7",BI2378,0)</f>
        <v>0</v>
      </c>
      <c r="AF2378" s="93">
        <f>IF(AQ2378="2",BH2378,0)</f>
        <v>0</v>
      </c>
      <c r="AG2378" s="93">
        <f>IF(AQ2378="2",BI2378,0)</f>
        <v>0</v>
      </c>
      <c r="AH2378" s="93">
        <f>IF(AQ2378="0",BJ2378,0)</f>
        <v>0</v>
      </c>
      <c r="AI2378" s="88" t="s">
        <v>55</v>
      </c>
      <c r="AJ2378" s="93">
        <f>IF(AN2378=0,L2378,0)</f>
        <v>0</v>
      </c>
      <c r="AK2378" s="93">
        <f>IF(AN2378=12,L2378,0)</f>
        <v>0</v>
      </c>
      <c r="AL2378" s="93">
        <f>IF(AN2378=21,L2378,0)</f>
        <v>0</v>
      </c>
      <c r="AN2378" s="93">
        <v>21</v>
      </c>
      <c r="AO2378" s="93">
        <f>H2378*0.309007121</f>
        <v>0</v>
      </c>
      <c r="AP2378" s="93">
        <f>H2378*(1-0.309007121)</f>
        <v>0</v>
      </c>
      <c r="AQ2378" s="94" t="s">
        <v>148</v>
      </c>
      <c r="AV2378" s="93">
        <f>AW2378+AX2378</f>
        <v>0</v>
      </c>
      <c r="AW2378" s="93">
        <f>G2378*AO2378</f>
        <v>0</v>
      </c>
      <c r="AX2378" s="93">
        <f>G2378*AP2378</f>
        <v>0</v>
      </c>
      <c r="AY2378" s="94" t="s">
        <v>3131</v>
      </c>
      <c r="AZ2378" s="94" t="s">
        <v>2927</v>
      </c>
      <c r="BA2378" s="88" t="s">
        <v>67</v>
      </c>
      <c r="BC2378" s="93">
        <f>AW2378+AX2378</f>
        <v>0</v>
      </c>
      <c r="BD2378" s="93">
        <f>H2378/(100-BE2378)*100</f>
        <v>0</v>
      </c>
      <c r="BE2378" s="93">
        <v>0</v>
      </c>
      <c r="BF2378" s="93">
        <f>O2378</f>
        <v>126.25199999999998</v>
      </c>
      <c r="BH2378" s="93">
        <f>G2378*AO2378</f>
        <v>0</v>
      </c>
      <c r="BI2378" s="93">
        <f>G2378*AP2378</f>
        <v>0</v>
      </c>
      <c r="BJ2378" s="93">
        <f>G2378*H2378</f>
        <v>0</v>
      </c>
      <c r="BK2378" s="93"/>
      <c r="BL2378" s="93"/>
      <c r="BW2378" s="93" t="str">
        <f>I2378</f>
        <v>21</v>
      </c>
      <c r="BX2378" s="2" t="s">
        <v>3150</v>
      </c>
    </row>
    <row r="2379" spans="1:76" s="81" customFormat="1" ht="13.5" customHeight="1" x14ac:dyDescent="0.25">
      <c r="A2379" s="110"/>
      <c r="B2379" s="95"/>
      <c r="C2379" s="95"/>
      <c r="D2379" s="179" t="s">
        <v>3151</v>
      </c>
      <c r="E2379" s="179"/>
      <c r="F2379" s="179"/>
      <c r="G2379" s="179"/>
      <c r="H2379" s="179"/>
      <c r="I2379" s="179"/>
      <c r="J2379" s="179"/>
      <c r="K2379" s="179"/>
      <c r="L2379" s="179"/>
      <c r="M2379" s="179"/>
      <c r="N2379" s="179"/>
      <c r="O2379" s="179"/>
      <c r="P2379" s="179"/>
    </row>
    <row r="2380" spans="1:76" s="81" customFormat="1" x14ac:dyDescent="0.25">
      <c r="A2380" s="110"/>
      <c r="B2380" s="95"/>
      <c r="C2380" s="95"/>
      <c r="D2380" s="76" t="s">
        <v>3152</v>
      </c>
      <c r="E2380" s="76" t="s">
        <v>3008</v>
      </c>
      <c r="F2380" s="95"/>
      <c r="G2380" s="96">
        <v>75.599999999999994</v>
      </c>
      <c r="H2380" s="95"/>
      <c r="I2380" s="95"/>
      <c r="J2380" s="95"/>
      <c r="K2380" s="95"/>
      <c r="L2380" s="95"/>
      <c r="M2380" s="95"/>
      <c r="N2380" s="95"/>
      <c r="O2380" s="95"/>
      <c r="P2380" s="95"/>
    </row>
    <row r="2381" spans="1:76" s="81" customFormat="1" ht="25.5" x14ac:dyDescent="0.25">
      <c r="A2381" s="66" t="s">
        <v>3162</v>
      </c>
      <c r="B2381" s="72" t="s">
        <v>55</v>
      </c>
      <c r="C2381" s="72" t="s">
        <v>163</v>
      </c>
      <c r="D2381" s="174" t="s">
        <v>164</v>
      </c>
      <c r="E2381" s="174"/>
      <c r="F2381" s="72" t="s">
        <v>62</v>
      </c>
      <c r="G2381" s="90">
        <v>183.6</v>
      </c>
      <c r="H2381" s="91"/>
      <c r="I2381" s="92" t="s">
        <v>63</v>
      </c>
      <c r="J2381" s="90">
        <f>G2381*AO2381</f>
        <v>0</v>
      </c>
      <c r="K2381" s="90">
        <f>G2381*AP2381</f>
        <v>0</v>
      </c>
      <c r="L2381" s="90">
        <f>G2381*H2381</f>
        <v>0</v>
      </c>
      <c r="M2381" s="90">
        <f>L2381*(1+BW2381/100)</f>
        <v>0</v>
      </c>
      <c r="N2381" s="90">
        <v>0</v>
      </c>
      <c r="O2381" s="90">
        <f>G2381*N2381</f>
        <v>0</v>
      </c>
      <c r="P2381" s="92" t="s">
        <v>64</v>
      </c>
      <c r="Z2381" s="93">
        <f>IF(AQ2381="5",BJ2381,0)</f>
        <v>0</v>
      </c>
      <c r="AB2381" s="93">
        <f>IF(AQ2381="1",BH2381,0)</f>
        <v>0</v>
      </c>
      <c r="AC2381" s="93">
        <f>IF(AQ2381="1",BI2381,0)</f>
        <v>0</v>
      </c>
      <c r="AD2381" s="93">
        <f>IF(AQ2381="7",BH2381,0)</f>
        <v>0</v>
      </c>
      <c r="AE2381" s="93">
        <f>IF(AQ2381="7",BI2381,0)</f>
        <v>0</v>
      </c>
      <c r="AF2381" s="93">
        <f>IF(AQ2381="2",BH2381,0)</f>
        <v>0</v>
      </c>
      <c r="AG2381" s="93">
        <f>IF(AQ2381="2",BI2381,0)</f>
        <v>0</v>
      </c>
      <c r="AH2381" s="93">
        <f>IF(AQ2381="0",BJ2381,0)</f>
        <v>0</v>
      </c>
      <c r="AI2381" s="88" t="s">
        <v>55</v>
      </c>
      <c r="AJ2381" s="93">
        <f>IF(AN2381=0,L2381,0)</f>
        <v>0</v>
      </c>
      <c r="AK2381" s="93">
        <f>IF(AN2381=12,L2381,0)</f>
        <v>0</v>
      </c>
      <c r="AL2381" s="93">
        <f>IF(AN2381=21,L2381,0)</f>
        <v>0</v>
      </c>
      <c r="AN2381" s="93">
        <v>21</v>
      </c>
      <c r="AO2381" s="93">
        <f>H2381*0</f>
        <v>0</v>
      </c>
      <c r="AP2381" s="93">
        <f>H2381*(1-0)</f>
        <v>0</v>
      </c>
      <c r="AQ2381" s="94" t="s">
        <v>148</v>
      </c>
      <c r="AV2381" s="93">
        <f>AW2381+AX2381</f>
        <v>0</v>
      </c>
      <c r="AW2381" s="93">
        <f>G2381*AO2381</f>
        <v>0</v>
      </c>
      <c r="AX2381" s="93">
        <f>G2381*AP2381</f>
        <v>0</v>
      </c>
      <c r="AY2381" s="94" t="s">
        <v>3131</v>
      </c>
      <c r="AZ2381" s="94" t="s">
        <v>2927</v>
      </c>
      <c r="BA2381" s="88" t="s">
        <v>67</v>
      </c>
      <c r="BC2381" s="93">
        <f>AW2381+AX2381</f>
        <v>0</v>
      </c>
      <c r="BD2381" s="93">
        <f>H2381/(100-BE2381)*100</f>
        <v>0</v>
      </c>
      <c r="BE2381" s="93">
        <v>0</v>
      </c>
      <c r="BF2381" s="93">
        <f>O2381</f>
        <v>0</v>
      </c>
      <c r="BH2381" s="93">
        <f>G2381*AO2381</f>
        <v>0</v>
      </c>
      <c r="BI2381" s="93">
        <f>G2381*AP2381</f>
        <v>0</v>
      </c>
      <c r="BJ2381" s="93">
        <f>G2381*H2381</f>
        <v>0</v>
      </c>
      <c r="BK2381" s="93"/>
      <c r="BL2381" s="93"/>
      <c r="BW2381" s="93" t="str">
        <f>I2381</f>
        <v>21</v>
      </c>
      <c r="BX2381" s="2" t="s">
        <v>164</v>
      </c>
    </row>
    <row r="2382" spans="1:76" s="81" customFormat="1" x14ac:dyDescent="0.25">
      <c r="A2382" s="110"/>
      <c r="B2382" s="95"/>
      <c r="C2382" s="95"/>
      <c r="D2382" s="76" t="s">
        <v>3154</v>
      </c>
      <c r="E2382" s="76" t="s">
        <v>54</v>
      </c>
      <c r="F2382" s="95"/>
      <c r="G2382" s="96">
        <v>183.6</v>
      </c>
      <c r="H2382" s="95"/>
      <c r="I2382" s="95"/>
      <c r="J2382" s="95"/>
      <c r="K2382" s="95"/>
      <c r="L2382" s="95"/>
      <c r="M2382" s="95"/>
      <c r="N2382" s="95"/>
      <c r="O2382" s="95"/>
      <c r="P2382" s="95"/>
    </row>
    <row r="2383" spans="1:76" s="81" customFormat="1" ht="25.5" x14ac:dyDescent="0.25">
      <c r="A2383" s="66" t="s">
        <v>3165</v>
      </c>
      <c r="B2383" s="72" t="s">
        <v>55</v>
      </c>
      <c r="C2383" s="72" t="s">
        <v>3156</v>
      </c>
      <c r="D2383" s="174" t="s">
        <v>3157</v>
      </c>
      <c r="E2383" s="174"/>
      <c r="F2383" s="72" t="s">
        <v>203</v>
      </c>
      <c r="G2383" s="90">
        <v>12</v>
      </c>
      <c r="H2383" s="91"/>
      <c r="I2383" s="92" t="s">
        <v>63</v>
      </c>
      <c r="J2383" s="90">
        <f>G2383*AO2383</f>
        <v>0</v>
      </c>
      <c r="K2383" s="90">
        <f>G2383*AP2383</f>
        <v>0</v>
      </c>
      <c r="L2383" s="90">
        <f>G2383*H2383</f>
        <v>0</v>
      </c>
      <c r="M2383" s="90">
        <f>L2383*(1+BW2383/100)</f>
        <v>0</v>
      </c>
      <c r="N2383" s="90">
        <v>1.6000000000000001E-4</v>
      </c>
      <c r="O2383" s="90">
        <f>G2383*N2383</f>
        <v>1.9200000000000003E-3</v>
      </c>
      <c r="P2383" s="92" t="s">
        <v>64</v>
      </c>
      <c r="Z2383" s="93">
        <f>IF(AQ2383="5",BJ2383,0)</f>
        <v>0</v>
      </c>
      <c r="AB2383" s="93">
        <f>IF(AQ2383="1",BH2383,0)</f>
        <v>0</v>
      </c>
      <c r="AC2383" s="93">
        <f>IF(AQ2383="1",BI2383,0)</f>
        <v>0</v>
      </c>
      <c r="AD2383" s="93">
        <f>IF(AQ2383="7",BH2383,0)</f>
        <v>0</v>
      </c>
      <c r="AE2383" s="93">
        <f>IF(AQ2383="7",BI2383,0)</f>
        <v>0</v>
      </c>
      <c r="AF2383" s="93">
        <f>IF(AQ2383="2",BH2383,0)</f>
        <v>0</v>
      </c>
      <c r="AG2383" s="93">
        <f>IF(AQ2383="2",BI2383,0)</f>
        <v>0</v>
      </c>
      <c r="AH2383" s="93">
        <f>IF(AQ2383="0",BJ2383,0)</f>
        <v>0</v>
      </c>
      <c r="AI2383" s="88" t="s">
        <v>55</v>
      </c>
      <c r="AJ2383" s="93">
        <f>IF(AN2383=0,L2383,0)</f>
        <v>0</v>
      </c>
      <c r="AK2383" s="93">
        <f>IF(AN2383=12,L2383,0)</f>
        <v>0</v>
      </c>
      <c r="AL2383" s="93">
        <f>IF(AN2383=21,L2383,0)</f>
        <v>0</v>
      </c>
      <c r="AN2383" s="93">
        <v>21</v>
      </c>
      <c r="AO2383" s="93">
        <f>H2383*0.014343944</f>
        <v>0</v>
      </c>
      <c r="AP2383" s="93">
        <f>H2383*(1-0.014343944)</f>
        <v>0</v>
      </c>
      <c r="AQ2383" s="94" t="s">
        <v>148</v>
      </c>
      <c r="AV2383" s="93">
        <f>AW2383+AX2383</f>
        <v>0</v>
      </c>
      <c r="AW2383" s="93">
        <f>G2383*AO2383</f>
        <v>0</v>
      </c>
      <c r="AX2383" s="93">
        <f>G2383*AP2383</f>
        <v>0</v>
      </c>
      <c r="AY2383" s="94" t="s">
        <v>3131</v>
      </c>
      <c r="AZ2383" s="94" t="s">
        <v>2927</v>
      </c>
      <c r="BA2383" s="88" t="s">
        <v>67</v>
      </c>
      <c r="BC2383" s="93">
        <f>AW2383+AX2383</f>
        <v>0</v>
      </c>
      <c r="BD2383" s="93">
        <f>H2383/(100-BE2383)*100</f>
        <v>0</v>
      </c>
      <c r="BE2383" s="93">
        <v>0</v>
      </c>
      <c r="BF2383" s="93">
        <f>O2383</f>
        <v>1.9200000000000003E-3</v>
      </c>
      <c r="BH2383" s="93">
        <f>G2383*AO2383</f>
        <v>0</v>
      </c>
      <c r="BI2383" s="93">
        <f>G2383*AP2383</f>
        <v>0</v>
      </c>
      <c r="BJ2383" s="93">
        <f>G2383*H2383</f>
        <v>0</v>
      </c>
      <c r="BK2383" s="93"/>
      <c r="BL2383" s="93"/>
      <c r="BW2383" s="93" t="str">
        <f>I2383</f>
        <v>21</v>
      </c>
      <c r="BX2383" s="2" t="s">
        <v>3157</v>
      </c>
    </row>
    <row r="2384" spans="1:76" s="81" customFormat="1" x14ac:dyDescent="0.25">
      <c r="A2384" s="110"/>
      <c r="B2384" s="95"/>
      <c r="C2384" s="95"/>
      <c r="D2384" s="76" t="s">
        <v>3158</v>
      </c>
      <c r="E2384" s="76" t="s">
        <v>54</v>
      </c>
      <c r="F2384" s="95"/>
      <c r="G2384" s="96">
        <v>12</v>
      </c>
      <c r="H2384" s="95"/>
      <c r="I2384" s="95"/>
      <c r="J2384" s="95"/>
      <c r="K2384" s="95"/>
      <c r="L2384" s="95"/>
      <c r="M2384" s="95"/>
      <c r="N2384" s="95"/>
      <c r="O2384" s="95"/>
      <c r="P2384" s="95"/>
    </row>
    <row r="2385" spans="1:76" s="81" customFormat="1" ht="25.5" x14ac:dyDescent="0.25">
      <c r="A2385" s="66" t="s">
        <v>3168</v>
      </c>
      <c r="B2385" s="72" t="s">
        <v>55</v>
      </c>
      <c r="C2385" s="72" t="s">
        <v>3160</v>
      </c>
      <c r="D2385" s="174" t="s">
        <v>3161</v>
      </c>
      <c r="E2385" s="174"/>
      <c r="F2385" s="72" t="s">
        <v>203</v>
      </c>
      <c r="G2385" s="90">
        <v>9</v>
      </c>
      <c r="H2385" s="91"/>
      <c r="I2385" s="92" t="s">
        <v>63</v>
      </c>
      <c r="J2385" s="90">
        <f t="shared" ref="J2385:J2391" si="411">G2385*AO2385</f>
        <v>0</v>
      </c>
      <c r="K2385" s="90">
        <f t="shared" ref="K2385:K2391" si="412">G2385*AP2385</f>
        <v>0</v>
      </c>
      <c r="L2385" s="90">
        <f t="shared" ref="L2385:L2391" si="413">G2385*H2385</f>
        <v>0</v>
      </c>
      <c r="M2385" s="90">
        <f t="shared" ref="M2385:M2391" si="414">L2385*(1+BW2385/100)</f>
        <v>0</v>
      </c>
      <c r="N2385" s="90">
        <v>1.6000000000000001E-3</v>
      </c>
      <c r="O2385" s="90">
        <f t="shared" ref="O2385:O2391" si="415">G2385*N2385</f>
        <v>1.4400000000000001E-2</v>
      </c>
      <c r="P2385" s="92" t="s">
        <v>64</v>
      </c>
      <c r="Z2385" s="93">
        <f t="shared" ref="Z2385:Z2391" si="416">IF(AQ2385="5",BJ2385,0)</f>
        <v>0</v>
      </c>
      <c r="AB2385" s="93">
        <f t="shared" ref="AB2385:AB2391" si="417">IF(AQ2385="1",BH2385,0)</f>
        <v>0</v>
      </c>
      <c r="AC2385" s="93">
        <f t="shared" ref="AC2385:AC2391" si="418">IF(AQ2385="1",BI2385,0)</f>
        <v>0</v>
      </c>
      <c r="AD2385" s="93">
        <f t="shared" ref="AD2385:AD2391" si="419">IF(AQ2385="7",BH2385,0)</f>
        <v>0</v>
      </c>
      <c r="AE2385" s="93">
        <f t="shared" ref="AE2385:AE2391" si="420">IF(AQ2385="7",BI2385,0)</f>
        <v>0</v>
      </c>
      <c r="AF2385" s="93">
        <f t="shared" ref="AF2385:AF2391" si="421">IF(AQ2385="2",BH2385,0)</f>
        <v>0</v>
      </c>
      <c r="AG2385" s="93">
        <f t="shared" ref="AG2385:AG2391" si="422">IF(AQ2385="2",BI2385,0)</f>
        <v>0</v>
      </c>
      <c r="AH2385" s="93">
        <f t="shared" ref="AH2385:AH2391" si="423">IF(AQ2385="0",BJ2385,0)</f>
        <v>0</v>
      </c>
      <c r="AI2385" s="88" t="s">
        <v>55</v>
      </c>
      <c r="AJ2385" s="93">
        <f t="shared" ref="AJ2385:AJ2391" si="424">IF(AN2385=0,L2385,0)</f>
        <v>0</v>
      </c>
      <c r="AK2385" s="93">
        <f t="shared" ref="AK2385:AK2391" si="425">IF(AN2385=12,L2385,0)</f>
        <v>0</v>
      </c>
      <c r="AL2385" s="93">
        <f t="shared" ref="AL2385:AL2391" si="426">IF(AN2385=21,L2385,0)</f>
        <v>0</v>
      </c>
      <c r="AN2385" s="93">
        <v>21</v>
      </c>
      <c r="AO2385" s="93">
        <f>H2385*1</f>
        <v>0</v>
      </c>
      <c r="AP2385" s="93">
        <f>H2385*(1-1)</f>
        <v>0</v>
      </c>
      <c r="AQ2385" s="94" t="s">
        <v>148</v>
      </c>
      <c r="AV2385" s="93">
        <f t="shared" ref="AV2385:AV2391" si="427">AW2385+AX2385</f>
        <v>0</v>
      </c>
      <c r="AW2385" s="93">
        <f t="shared" ref="AW2385:AW2391" si="428">G2385*AO2385</f>
        <v>0</v>
      </c>
      <c r="AX2385" s="93">
        <f t="shared" ref="AX2385:AX2391" si="429">G2385*AP2385</f>
        <v>0</v>
      </c>
      <c r="AY2385" s="94" t="s">
        <v>3131</v>
      </c>
      <c r="AZ2385" s="94" t="s">
        <v>2927</v>
      </c>
      <c r="BA2385" s="88" t="s">
        <v>67</v>
      </c>
      <c r="BC2385" s="93">
        <f t="shared" ref="BC2385:BC2391" si="430">AW2385+AX2385</f>
        <v>0</v>
      </c>
      <c r="BD2385" s="93">
        <f t="shared" ref="BD2385:BD2391" si="431">H2385/(100-BE2385)*100</f>
        <v>0</v>
      </c>
      <c r="BE2385" s="93">
        <v>0</v>
      </c>
      <c r="BF2385" s="93">
        <f t="shared" ref="BF2385:BF2391" si="432">O2385</f>
        <v>1.4400000000000001E-2</v>
      </c>
      <c r="BH2385" s="93">
        <f t="shared" ref="BH2385:BH2391" si="433">G2385*AO2385</f>
        <v>0</v>
      </c>
      <c r="BI2385" s="93">
        <f t="shared" ref="BI2385:BI2391" si="434">G2385*AP2385</f>
        <v>0</v>
      </c>
      <c r="BJ2385" s="93">
        <f t="shared" ref="BJ2385:BJ2391" si="435">G2385*H2385</f>
        <v>0</v>
      </c>
      <c r="BK2385" s="93"/>
      <c r="BL2385" s="93"/>
      <c r="BW2385" s="93" t="str">
        <f t="shared" ref="BW2385:BW2391" si="436">I2385</f>
        <v>21</v>
      </c>
      <c r="BX2385" s="2" t="s">
        <v>3161</v>
      </c>
    </row>
    <row r="2386" spans="1:76" s="81" customFormat="1" ht="25.5" x14ac:dyDescent="0.25">
      <c r="A2386" s="66" t="s">
        <v>3171</v>
      </c>
      <c r="B2386" s="72" t="s">
        <v>55</v>
      </c>
      <c r="C2386" s="72" t="s">
        <v>3163</v>
      </c>
      <c r="D2386" s="174" t="s">
        <v>3164</v>
      </c>
      <c r="E2386" s="174"/>
      <c r="F2386" s="72" t="s">
        <v>203</v>
      </c>
      <c r="G2386" s="90">
        <v>3</v>
      </c>
      <c r="H2386" s="91"/>
      <c r="I2386" s="92" t="s">
        <v>63</v>
      </c>
      <c r="J2386" s="90">
        <f t="shared" si="411"/>
        <v>0</v>
      </c>
      <c r="K2386" s="90">
        <f t="shared" si="412"/>
        <v>0</v>
      </c>
      <c r="L2386" s="90">
        <f t="shared" si="413"/>
        <v>0</v>
      </c>
      <c r="M2386" s="90">
        <f t="shared" si="414"/>
        <v>0</v>
      </c>
      <c r="N2386" s="90">
        <v>1E-3</v>
      </c>
      <c r="O2386" s="90">
        <f t="shared" si="415"/>
        <v>3.0000000000000001E-3</v>
      </c>
      <c r="P2386" s="92" t="s">
        <v>64</v>
      </c>
      <c r="Z2386" s="93">
        <f t="shared" si="416"/>
        <v>0</v>
      </c>
      <c r="AB2386" s="93">
        <f t="shared" si="417"/>
        <v>0</v>
      </c>
      <c r="AC2386" s="93">
        <f t="shared" si="418"/>
        <v>0</v>
      </c>
      <c r="AD2386" s="93">
        <f t="shared" si="419"/>
        <v>0</v>
      </c>
      <c r="AE2386" s="93">
        <f t="shared" si="420"/>
        <v>0</v>
      </c>
      <c r="AF2386" s="93">
        <f t="shared" si="421"/>
        <v>0</v>
      </c>
      <c r="AG2386" s="93">
        <f t="shared" si="422"/>
        <v>0</v>
      </c>
      <c r="AH2386" s="93">
        <f t="shared" si="423"/>
        <v>0</v>
      </c>
      <c r="AI2386" s="88" t="s">
        <v>55</v>
      </c>
      <c r="AJ2386" s="93">
        <f t="shared" si="424"/>
        <v>0</v>
      </c>
      <c r="AK2386" s="93">
        <f t="shared" si="425"/>
        <v>0</v>
      </c>
      <c r="AL2386" s="93">
        <f t="shared" si="426"/>
        <v>0</v>
      </c>
      <c r="AN2386" s="93">
        <v>21</v>
      </c>
      <c r="AO2386" s="93">
        <f>H2386*1</f>
        <v>0</v>
      </c>
      <c r="AP2386" s="93">
        <f>H2386*(1-1)</f>
        <v>0</v>
      </c>
      <c r="AQ2386" s="94" t="s">
        <v>148</v>
      </c>
      <c r="AV2386" s="93">
        <f t="shared" si="427"/>
        <v>0</v>
      </c>
      <c r="AW2386" s="93">
        <f t="shared" si="428"/>
        <v>0</v>
      </c>
      <c r="AX2386" s="93">
        <f t="shared" si="429"/>
        <v>0</v>
      </c>
      <c r="AY2386" s="94" t="s">
        <v>3131</v>
      </c>
      <c r="AZ2386" s="94" t="s">
        <v>2927</v>
      </c>
      <c r="BA2386" s="88" t="s">
        <v>67</v>
      </c>
      <c r="BC2386" s="93">
        <f t="shared" si="430"/>
        <v>0</v>
      </c>
      <c r="BD2386" s="93">
        <f t="shared" si="431"/>
        <v>0</v>
      </c>
      <c r="BE2386" s="93">
        <v>0</v>
      </c>
      <c r="BF2386" s="93">
        <f t="shared" si="432"/>
        <v>3.0000000000000001E-3</v>
      </c>
      <c r="BH2386" s="93">
        <f t="shared" si="433"/>
        <v>0</v>
      </c>
      <c r="BI2386" s="93">
        <f t="shared" si="434"/>
        <v>0</v>
      </c>
      <c r="BJ2386" s="93">
        <f t="shared" si="435"/>
        <v>0</v>
      </c>
      <c r="BK2386" s="93"/>
      <c r="BL2386" s="93"/>
      <c r="BW2386" s="93" t="str">
        <f t="shared" si="436"/>
        <v>21</v>
      </c>
      <c r="BX2386" s="2" t="s">
        <v>3164</v>
      </c>
    </row>
    <row r="2387" spans="1:76" s="81" customFormat="1" ht="25.5" x14ac:dyDescent="0.25">
      <c r="A2387" s="66" t="s">
        <v>3174</v>
      </c>
      <c r="B2387" s="72" t="s">
        <v>55</v>
      </c>
      <c r="C2387" s="72" t="s">
        <v>3166</v>
      </c>
      <c r="D2387" s="174" t="s">
        <v>3167</v>
      </c>
      <c r="E2387" s="174"/>
      <c r="F2387" s="72" t="s">
        <v>203</v>
      </c>
      <c r="G2387" s="90">
        <v>16</v>
      </c>
      <c r="H2387" s="91"/>
      <c r="I2387" s="92" t="s">
        <v>63</v>
      </c>
      <c r="J2387" s="90">
        <f t="shared" si="411"/>
        <v>0</v>
      </c>
      <c r="K2387" s="90">
        <f t="shared" si="412"/>
        <v>0</v>
      </c>
      <c r="L2387" s="90">
        <f t="shared" si="413"/>
        <v>0</v>
      </c>
      <c r="M2387" s="90">
        <f t="shared" si="414"/>
        <v>0</v>
      </c>
      <c r="N2387" s="90">
        <v>1.6000000000000001E-4</v>
      </c>
      <c r="O2387" s="90">
        <f t="shared" si="415"/>
        <v>2.5600000000000002E-3</v>
      </c>
      <c r="P2387" s="92" t="s">
        <v>64</v>
      </c>
      <c r="Z2387" s="93">
        <f t="shared" si="416"/>
        <v>0</v>
      </c>
      <c r="AB2387" s="93">
        <f t="shared" si="417"/>
        <v>0</v>
      </c>
      <c r="AC2387" s="93">
        <f t="shared" si="418"/>
        <v>0</v>
      </c>
      <c r="AD2387" s="93">
        <f t="shared" si="419"/>
        <v>0</v>
      </c>
      <c r="AE2387" s="93">
        <f t="shared" si="420"/>
        <v>0</v>
      </c>
      <c r="AF2387" s="93">
        <f t="shared" si="421"/>
        <v>0</v>
      </c>
      <c r="AG2387" s="93">
        <f t="shared" si="422"/>
        <v>0</v>
      </c>
      <c r="AH2387" s="93">
        <f t="shared" si="423"/>
        <v>0</v>
      </c>
      <c r="AI2387" s="88" t="s">
        <v>55</v>
      </c>
      <c r="AJ2387" s="93">
        <f t="shared" si="424"/>
        <v>0</v>
      </c>
      <c r="AK2387" s="93">
        <f t="shared" si="425"/>
        <v>0</v>
      </c>
      <c r="AL2387" s="93">
        <f t="shared" si="426"/>
        <v>0</v>
      </c>
      <c r="AN2387" s="93">
        <v>21</v>
      </c>
      <c r="AO2387" s="93">
        <f>H2387*0.018833333</f>
        <v>0</v>
      </c>
      <c r="AP2387" s="93">
        <f>H2387*(1-0.018833333)</f>
        <v>0</v>
      </c>
      <c r="AQ2387" s="94" t="s">
        <v>148</v>
      </c>
      <c r="AV2387" s="93">
        <f t="shared" si="427"/>
        <v>0</v>
      </c>
      <c r="AW2387" s="93">
        <f t="shared" si="428"/>
        <v>0</v>
      </c>
      <c r="AX2387" s="93">
        <f t="shared" si="429"/>
        <v>0</v>
      </c>
      <c r="AY2387" s="94" t="s">
        <v>3131</v>
      </c>
      <c r="AZ2387" s="94" t="s">
        <v>2927</v>
      </c>
      <c r="BA2387" s="88" t="s">
        <v>67</v>
      </c>
      <c r="BC2387" s="93">
        <f t="shared" si="430"/>
        <v>0</v>
      </c>
      <c r="BD2387" s="93">
        <f t="shared" si="431"/>
        <v>0</v>
      </c>
      <c r="BE2387" s="93">
        <v>0</v>
      </c>
      <c r="BF2387" s="93">
        <f t="shared" si="432"/>
        <v>2.5600000000000002E-3</v>
      </c>
      <c r="BH2387" s="93">
        <f t="shared" si="433"/>
        <v>0</v>
      </c>
      <c r="BI2387" s="93">
        <f t="shared" si="434"/>
        <v>0</v>
      </c>
      <c r="BJ2387" s="93">
        <f t="shared" si="435"/>
        <v>0</v>
      </c>
      <c r="BK2387" s="93"/>
      <c r="BL2387" s="93"/>
      <c r="BW2387" s="93" t="str">
        <f t="shared" si="436"/>
        <v>21</v>
      </c>
      <c r="BX2387" s="2" t="s">
        <v>3167</v>
      </c>
    </row>
    <row r="2388" spans="1:76" s="81" customFormat="1" ht="25.5" x14ac:dyDescent="0.25">
      <c r="A2388" s="66" t="s">
        <v>3176</v>
      </c>
      <c r="B2388" s="72" t="s">
        <v>55</v>
      </c>
      <c r="C2388" s="72" t="s">
        <v>3169</v>
      </c>
      <c r="D2388" s="174" t="s">
        <v>3170</v>
      </c>
      <c r="E2388" s="174"/>
      <c r="F2388" s="72" t="s">
        <v>203</v>
      </c>
      <c r="G2388" s="90">
        <v>16</v>
      </c>
      <c r="H2388" s="91"/>
      <c r="I2388" s="92" t="s">
        <v>63</v>
      </c>
      <c r="J2388" s="90">
        <f t="shared" si="411"/>
        <v>0</v>
      </c>
      <c r="K2388" s="90">
        <f t="shared" si="412"/>
        <v>0</v>
      </c>
      <c r="L2388" s="90">
        <f t="shared" si="413"/>
        <v>0</v>
      </c>
      <c r="M2388" s="90">
        <f t="shared" si="414"/>
        <v>0</v>
      </c>
      <c r="N2388" s="90">
        <v>1.6000000000000001E-3</v>
      </c>
      <c r="O2388" s="90">
        <f t="shared" si="415"/>
        <v>2.5600000000000001E-2</v>
      </c>
      <c r="P2388" s="92" t="s">
        <v>371</v>
      </c>
      <c r="Z2388" s="93">
        <f t="shared" si="416"/>
        <v>0</v>
      </c>
      <c r="AB2388" s="93">
        <f t="shared" si="417"/>
        <v>0</v>
      </c>
      <c r="AC2388" s="93">
        <f t="shared" si="418"/>
        <v>0</v>
      </c>
      <c r="AD2388" s="93">
        <f t="shared" si="419"/>
        <v>0</v>
      </c>
      <c r="AE2388" s="93">
        <f t="shared" si="420"/>
        <v>0</v>
      </c>
      <c r="AF2388" s="93">
        <f t="shared" si="421"/>
        <v>0</v>
      </c>
      <c r="AG2388" s="93">
        <f t="shared" si="422"/>
        <v>0</v>
      </c>
      <c r="AH2388" s="93">
        <f t="shared" si="423"/>
        <v>0</v>
      </c>
      <c r="AI2388" s="88" t="s">
        <v>55</v>
      </c>
      <c r="AJ2388" s="93">
        <f t="shared" si="424"/>
        <v>0</v>
      </c>
      <c r="AK2388" s="93">
        <f t="shared" si="425"/>
        <v>0</v>
      </c>
      <c r="AL2388" s="93">
        <f t="shared" si="426"/>
        <v>0</v>
      </c>
      <c r="AN2388" s="93">
        <v>21</v>
      </c>
      <c r="AO2388" s="93">
        <f>H2388*1</f>
        <v>0</v>
      </c>
      <c r="AP2388" s="93">
        <f>H2388*(1-1)</f>
        <v>0</v>
      </c>
      <c r="AQ2388" s="94" t="s">
        <v>148</v>
      </c>
      <c r="AV2388" s="93">
        <f t="shared" si="427"/>
        <v>0</v>
      </c>
      <c r="AW2388" s="93">
        <f t="shared" si="428"/>
        <v>0</v>
      </c>
      <c r="AX2388" s="93">
        <f t="shared" si="429"/>
        <v>0</v>
      </c>
      <c r="AY2388" s="94" t="s">
        <v>3131</v>
      </c>
      <c r="AZ2388" s="94" t="s">
        <v>2927</v>
      </c>
      <c r="BA2388" s="88" t="s">
        <v>67</v>
      </c>
      <c r="BC2388" s="93">
        <f t="shared" si="430"/>
        <v>0</v>
      </c>
      <c r="BD2388" s="93">
        <f t="shared" si="431"/>
        <v>0</v>
      </c>
      <c r="BE2388" s="93">
        <v>0</v>
      </c>
      <c r="BF2388" s="93">
        <f t="shared" si="432"/>
        <v>2.5600000000000001E-2</v>
      </c>
      <c r="BH2388" s="93">
        <f t="shared" si="433"/>
        <v>0</v>
      </c>
      <c r="BI2388" s="93">
        <f t="shared" si="434"/>
        <v>0</v>
      </c>
      <c r="BJ2388" s="93">
        <f t="shared" si="435"/>
        <v>0</v>
      </c>
      <c r="BK2388" s="93"/>
      <c r="BL2388" s="93"/>
      <c r="BW2388" s="93" t="str">
        <f t="shared" si="436"/>
        <v>21</v>
      </c>
      <c r="BX2388" s="2" t="s">
        <v>3170</v>
      </c>
    </row>
    <row r="2389" spans="1:76" s="81" customFormat="1" ht="25.5" x14ac:dyDescent="0.25">
      <c r="A2389" s="66" t="s">
        <v>3178</v>
      </c>
      <c r="B2389" s="72" t="s">
        <v>55</v>
      </c>
      <c r="C2389" s="72" t="s">
        <v>3172</v>
      </c>
      <c r="D2389" s="174" t="s">
        <v>3173</v>
      </c>
      <c r="E2389" s="174"/>
      <c r="F2389" s="72" t="s">
        <v>203</v>
      </c>
      <c r="G2389" s="90">
        <v>4</v>
      </c>
      <c r="H2389" s="91"/>
      <c r="I2389" s="92" t="s">
        <v>63</v>
      </c>
      <c r="J2389" s="90">
        <f t="shared" si="411"/>
        <v>0</v>
      </c>
      <c r="K2389" s="90">
        <f t="shared" si="412"/>
        <v>0</v>
      </c>
      <c r="L2389" s="90">
        <f t="shared" si="413"/>
        <v>0</v>
      </c>
      <c r="M2389" s="90">
        <f t="shared" si="414"/>
        <v>0</v>
      </c>
      <c r="N2389" s="90">
        <v>1.6000000000000001E-4</v>
      </c>
      <c r="O2389" s="90">
        <f t="shared" si="415"/>
        <v>6.4000000000000005E-4</v>
      </c>
      <c r="P2389" s="92" t="s">
        <v>371</v>
      </c>
      <c r="Z2389" s="93">
        <f t="shared" si="416"/>
        <v>0</v>
      </c>
      <c r="AB2389" s="93">
        <f t="shared" si="417"/>
        <v>0</v>
      </c>
      <c r="AC2389" s="93">
        <f t="shared" si="418"/>
        <v>0</v>
      </c>
      <c r="AD2389" s="93">
        <f t="shared" si="419"/>
        <v>0</v>
      </c>
      <c r="AE2389" s="93">
        <f t="shared" si="420"/>
        <v>0</v>
      </c>
      <c r="AF2389" s="93">
        <f t="shared" si="421"/>
        <v>0</v>
      </c>
      <c r="AG2389" s="93">
        <f t="shared" si="422"/>
        <v>0</v>
      </c>
      <c r="AH2389" s="93">
        <f t="shared" si="423"/>
        <v>0</v>
      </c>
      <c r="AI2389" s="88" t="s">
        <v>55</v>
      </c>
      <c r="AJ2389" s="93">
        <f t="shared" si="424"/>
        <v>0</v>
      </c>
      <c r="AK2389" s="93">
        <f t="shared" si="425"/>
        <v>0</v>
      </c>
      <c r="AL2389" s="93">
        <f t="shared" si="426"/>
        <v>0</v>
      </c>
      <c r="AN2389" s="93">
        <v>21</v>
      </c>
      <c r="AO2389" s="93">
        <f>H2389*0.018833333</f>
        <v>0</v>
      </c>
      <c r="AP2389" s="93">
        <f>H2389*(1-0.018833333)</f>
        <v>0</v>
      </c>
      <c r="AQ2389" s="94" t="s">
        <v>148</v>
      </c>
      <c r="AV2389" s="93">
        <f t="shared" si="427"/>
        <v>0</v>
      </c>
      <c r="AW2389" s="93">
        <f t="shared" si="428"/>
        <v>0</v>
      </c>
      <c r="AX2389" s="93">
        <f t="shared" si="429"/>
        <v>0</v>
      </c>
      <c r="AY2389" s="94" t="s">
        <v>3131</v>
      </c>
      <c r="AZ2389" s="94" t="s">
        <v>2927</v>
      </c>
      <c r="BA2389" s="88" t="s">
        <v>67</v>
      </c>
      <c r="BC2389" s="93">
        <f t="shared" si="430"/>
        <v>0</v>
      </c>
      <c r="BD2389" s="93">
        <f t="shared" si="431"/>
        <v>0</v>
      </c>
      <c r="BE2389" s="93">
        <v>0</v>
      </c>
      <c r="BF2389" s="93">
        <f t="shared" si="432"/>
        <v>6.4000000000000005E-4</v>
      </c>
      <c r="BH2389" s="93">
        <f t="shared" si="433"/>
        <v>0</v>
      </c>
      <c r="BI2389" s="93">
        <f t="shared" si="434"/>
        <v>0</v>
      </c>
      <c r="BJ2389" s="93">
        <f t="shared" si="435"/>
        <v>0</v>
      </c>
      <c r="BK2389" s="93"/>
      <c r="BL2389" s="93"/>
      <c r="BW2389" s="93" t="str">
        <f t="shared" si="436"/>
        <v>21</v>
      </c>
      <c r="BX2389" s="2" t="s">
        <v>3173</v>
      </c>
    </row>
    <row r="2390" spans="1:76" s="81" customFormat="1" ht="25.5" x14ac:dyDescent="0.25">
      <c r="A2390" s="66" t="s">
        <v>3180</v>
      </c>
      <c r="B2390" s="72" t="s">
        <v>55</v>
      </c>
      <c r="C2390" s="72" t="s">
        <v>3175</v>
      </c>
      <c r="D2390" s="174" t="s">
        <v>3170</v>
      </c>
      <c r="E2390" s="174"/>
      <c r="F2390" s="72" t="s">
        <v>203</v>
      </c>
      <c r="G2390" s="90">
        <v>4</v>
      </c>
      <c r="H2390" s="91"/>
      <c r="I2390" s="92" t="s">
        <v>63</v>
      </c>
      <c r="J2390" s="90">
        <f t="shared" si="411"/>
        <v>0</v>
      </c>
      <c r="K2390" s="90">
        <f t="shared" si="412"/>
        <v>0</v>
      </c>
      <c r="L2390" s="90">
        <f t="shared" si="413"/>
        <v>0</v>
      </c>
      <c r="M2390" s="90">
        <f t="shared" si="414"/>
        <v>0</v>
      </c>
      <c r="N2390" s="90">
        <v>1.6000000000000001E-3</v>
      </c>
      <c r="O2390" s="90">
        <f t="shared" si="415"/>
        <v>6.4000000000000003E-3</v>
      </c>
      <c r="P2390" s="92" t="s">
        <v>371</v>
      </c>
      <c r="Z2390" s="93">
        <f t="shared" si="416"/>
        <v>0</v>
      </c>
      <c r="AB2390" s="93">
        <f t="shared" si="417"/>
        <v>0</v>
      </c>
      <c r="AC2390" s="93">
        <f t="shared" si="418"/>
        <v>0</v>
      </c>
      <c r="AD2390" s="93">
        <f t="shared" si="419"/>
        <v>0</v>
      </c>
      <c r="AE2390" s="93">
        <f t="shared" si="420"/>
        <v>0</v>
      </c>
      <c r="AF2390" s="93">
        <f t="shared" si="421"/>
        <v>0</v>
      </c>
      <c r="AG2390" s="93">
        <f t="shared" si="422"/>
        <v>0</v>
      </c>
      <c r="AH2390" s="93">
        <f t="shared" si="423"/>
        <v>0</v>
      </c>
      <c r="AI2390" s="88" t="s">
        <v>55</v>
      </c>
      <c r="AJ2390" s="93">
        <f t="shared" si="424"/>
        <v>0</v>
      </c>
      <c r="AK2390" s="93">
        <f t="shared" si="425"/>
        <v>0</v>
      </c>
      <c r="AL2390" s="93">
        <f t="shared" si="426"/>
        <v>0</v>
      </c>
      <c r="AN2390" s="93">
        <v>21</v>
      </c>
      <c r="AO2390" s="93">
        <f>H2390*1</f>
        <v>0</v>
      </c>
      <c r="AP2390" s="93">
        <f>H2390*(1-1)</f>
        <v>0</v>
      </c>
      <c r="AQ2390" s="94" t="s">
        <v>148</v>
      </c>
      <c r="AV2390" s="93">
        <f t="shared" si="427"/>
        <v>0</v>
      </c>
      <c r="AW2390" s="93">
        <f t="shared" si="428"/>
        <v>0</v>
      </c>
      <c r="AX2390" s="93">
        <f t="shared" si="429"/>
        <v>0</v>
      </c>
      <c r="AY2390" s="94" t="s">
        <v>3131</v>
      </c>
      <c r="AZ2390" s="94" t="s">
        <v>2927</v>
      </c>
      <c r="BA2390" s="88" t="s">
        <v>67</v>
      </c>
      <c r="BC2390" s="93">
        <f t="shared" si="430"/>
        <v>0</v>
      </c>
      <c r="BD2390" s="93">
        <f t="shared" si="431"/>
        <v>0</v>
      </c>
      <c r="BE2390" s="93">
        <v>0</v>
      </c>
      <c r="BF2390" s="93">
        <f t="shared" si="432"/>
        <v>6.4000000000000003E-3</v>
      </c>
      <c r="BH2390" s="93">
        <f t="shared" si="433"/>
        <v>0</v>
      </c>
      <c r="BI2390" s="93">
        <f t="shared" si="434"/>
        <v>0</v>
      </c>
      <c r="BJ2390" s="93">
        <f t="shared" si="435"/>
        <v>0</v>
      </c>
      <c r="BK2390" s="93"/>
      <c r="BL2390" s="93"/>
      <c r="BW2390" s="93" t="str">
        <f t="shared" si="436"/>
        <v>21</v>
      </c>
      <c r="BX2390" s="2" t="s">
        <v>3170</v>
      </c>
    </row>
    <row r="2391" spans="1:76" s="81" customFormat="1" ht="25.5" x14ac:dyDescent="0.25">
      <c r="A2391" s="66" t="s">
        <v>3183</v>
      </c>
      <c r="B2391" s="72" t="s">
        <v>55</v>
      </c>
      <c r="C2391" s="72" t="s">
        <v>3006</v>
      </c>
      <c r="D2391" s="174" t="s">
        <v>3007</v>
      </c>
      <c r="E2391" s="174"/>
      <c r="F2391" s="72" t="s">
        <v>62</v>
      </c>
      <c r="G2391" s="90">
        <v>21.6</v>
      </c>
      <c r="H2391" s="91"/>
      <c r="I2391" s="92" t="s">
        <v>63</v>
      </c>
      <c r="J2391" s="90">
        <f t="shared" si="411"/>
        <v>0</v>
      </c>
      <c r="K2391" s="90">
        <f t="shared" si="412"/>
        <v>0</v>
      </c>
      <c r="L2391" s="90">
        <f t="shared" si="413"/>
        <v>0</v>
      </c>
      <c r="M2391" s="90">
        <f t="shared" si="414"/>
        <v>0</v>
      </c>
      <c r="N2391" s="90">
        <v>1.8907700000000001</v>
      </c>
      <c r="O2391" s="90">
        <f t="shared" si="415"/>
        <v>40.840632000000006</v>
      </c>
      <c r="P2391" s="92" t="s">
        <v>64</v>
      </c>
      <c r="Z2391" s="93">
        <f t="shared" si="416"/>
        <v>0</v>
      </c>
      <c r="AB2391" s="93">
        <f t="shared" si="417"/>
        <v>0</v>
      </c>
      <c r="AC2391" s="93">
        <f t="shared" si="418"/>
        <v>0</v>
      </c>
      <c r="AD2391" s="93">
        <f t="shared" si="419"/>
        <v>0</v>
      </c>
      <c r="AE2391" s="93">
        <f t="shared" si="420"/>
        <v>0</v>
      </c>
      <c r="AF2391" s="93">
        <f t="shared" si="421"/>
        <v>0</v>
      </c>
      <c r="AG2391" s="93">
        <f t="shared" si="422"/>
        <v>0</v>
      </c>
      <c r="AH2391" s="93">
        <f t="shared" si="423"/>
        <v>0</v>
      </c>
      <c r="AI2391" s="88" t="s">
        <v>55</v>
      </c>
      <c r="AJ2391" s="93">
        <f t="shared" si="424"/>
        <v>0</v>
      </c>
      <c r="AK2391" s="93">
        <f t="shared" si="425"/>
        <v>0</v>
      </c>
      <c r="AL2391" s="93">
        <f t="shared" si="426"/>
        <v>0</v>
      </c>
      <c r="AN2391" s="93">
        <v>21</v>
      </c>
      <c r="AO2391" s="93">
        <f>H2391*0.488167006</f>
        <v>0</v>
      </c>
      <c r="AP2391" s="93">
        <f>H2391*(1-0.488167006)</f>
        <v>0</v>
      </c>
      <c r="AQ2391" s="94" t="s">
        <v>148</v>
      </c>
      <c r="AV2391" s="93">
        <f t="shared" si="427"/>
        <v>0</v>
      </c>
      <c r="AW2391" s="93">
        <f t="shared" si="428"/>
        <v>0</v>
      </c>
      <c r="AX2391" s="93">
        <f t="shared" si="429"/>
        <v>0</v>
      </c>
      <c r="AY2391" s="94" t="s">
        <v>3131</v>
      </c>
      <c r="AZ2391" s="94" t="s">
        <v>2927</v>
      </c>
      <c r="BA2391" s="88" t="s">
        <v>67</v>
      </c>
      <c r="BC2391" s="93">
        <f t="shared" si="430"/>
        <v>0</v>
      </c>
      <c r="BD2391" s="93">
        <f t="shared" si="431"/>
        <v>0</v>
      </c>
      <c r="BE2391" s="93">
        <v>0</v>
      </c>
      <c r="BF2391" s="93">
        <f t="shared" si="432"/>
        <v>40.840632000000006</v>
      </c>
      <c r="BH2391" s="93">
        <f t="shared" si="433"/>
        <v>0</v>
      </c>
      <c r="BI2391" s="93">
        <f t="shared" si="434"/>
        <v>0</v>
      </c>
      <c r="BJ2391" s="93">
        <f t="shared" si="435"/>
        <v>0</v>
      </c>
      <c r="BK2391" s="93"/>
      <c r="BL2391" s="93"/>
      <c r="BW2391" s="93" t="str">
        <f t="shared" si="436"/>
        <v>21</v>
      </c>
      <c r="BX2391" s="2" t="s">
        <v>3007</v>
      </c>
    </row>
    <row r="2392" spans="1:76" s="81" customFormat="1" x14ac:dyDescent="0.25">
      <c r="A2392" s="110"/>
      <c r="B2392" s="95"/>
      <c r="C2392" s="95"/>
      <c r="D2392" s="76" t="s">
        <v>3177</v>
      </c>
      <c r="E2392" s="76" t="s">
        <v>3008</v>
      </c>
      <c r="F2392" s="95"/>
      <c r="G2392" s="96">
        <v>21.6</v>
      </c>
      <c r="H2392" s="95"/>
      <c r="I2392" s="95"/>
      <c r="J2392" s="95"/>
      <c r="K2392" s="95"/>
      <c r="L2392" s="95"/>
      <c r="M2392" s="95"/>
      <c r="N2392" s="95"/>
      <c r="O2392" s="95"/>
      <c r="P2392" s="95"/>
    </row>
    <row r="2393" spans="1:76" s="81" customFormat="1" ht="25.5" x14ac:dyDescent="0.25">
      <c r="A2393" s="66" t="s">
        <v>3186</v>
      </c>
      <c r="B2393" s="72" t="s">
        <v>55</v>
      </c>
      <c r="C2393" s="72" t="s">
        <v>3077</v>
      </c>
      <c r="D2393" s="174" t="s">
        <v>3078</v>
      </c>
      <c r="E2393" s="174"/>
      <c r="F2393" s="72" t="s">
        <v>213</v>
      </c>
      <c r="G2393" s="90">
        <v>243</v>
      </c>
      <c r="H2393" s="91"/>
      <c r="I2393" s="92" t="s">
        <v>63</v>
      </c>
      <c r="J2393" s="90">
        <f>G2393*AO2393</f>
        <v>0</v>
      </c>
      <c r="K2393" s="90">
        <f>G2393*AP2393</f>
        <v>0</v>
      </c>
      <c r="L2393" s="90">
        <f>G2393*H2393</f>
        <v>0</v>
      </c>
      <c r="M2393" s="90">
        <f>L2393*(1+BW2393/100)</f>
        <v>0</v>
      </c>
      <c r="N2393" s="90">
        <v>0</v>
      </c>
      <c r="O2393" s="90">
        <f>G2393*N2393</f>
        <v>0</v>
      </c>
      <c r="P2393" s="92" t="s">
        <v>64</v>
      </c>
      <c r="Z2393" s="93">
        <f>IF(AQ2393="5",BJ2393,0)</f>
        <v>0</v>
      </c>
      <c r="AB2393" s="93">
        <f>IF(AQ2393="1",BH2393,0)</f>
        <v>0</v>
      </c>
      <c r="AC2393" s="93">
        <f>IF(AQ2393="1",BI2393,0)</f>
        <v>0</v>
      </c>
      <c r="AD2393" s="93">
        <f>IF(AQ2393="7",BH2393,0)</f>
        <v>0</v>
      </c>
      <c r="AE2393" s="93">
        <f>IF(AQ2393="7",BI2393,0)</f>
        <v>0</v>
      </c>
      <c r="AF2393" s="93">
        <f>IF(AQ2393="2",BH2393,0)</f>
        <v>0</v>
      </c>
      <c r="AG2393" s="93">
        <f>IF(AQ2393="2",BI2393,0)</f>
        <v>0</v>
      </c>
      <c r="AH2393" s="93">
        <f>IF(AQ2393="0",BJ2393,0)</f>
        <v>0</v>
      </c>
      <c r="AI2393" s="88" t="s">
        <v>55</v>
      </c>
      <c r="AJ2393" s="93">
        <f>IF(AN2393=0,L2393,0)</f>
        <v>0</v>
      </c>
      <c r="AK2393" s="93">
        <f>IF(AN2393=12,L2393,0)</f>
        <v>0</v>
      </c>
      <c r="AL2393" s="93">
        <f>IF(AN2393=21,L2393,0)</f>
        <v>0</v>
      </c>
      <c r="AN2393" s="93">
        <v>21</v>
      </c>
      <c r="AO2393" s="93">
        <f>H2393*0</f>
        <v>0</v>
      </c>
      <c r="AP2393" s="93">
        <f>H2393*(1-0)</f>
        <v>0</v>
      </c>
      <c r="AQ2393" s="94" t="s">
        <v>148</v>
      </c>
      <c r="AV2393" s="93">
        <f>AW2393+AX2393</f>
        <v>0</v>
      </c>
      <c r="AW2393" s="93">
        <f>G2393*AO2393</f>
        <v>0</v>
      </c>
      <c r="AX2393" s="93">
        <f>G2393*AP2393</f>
        <v>0</v>
      </c>
      <c r="AY2393" s="94" t="s">
        <v>3131</v>
      </c>
      <c r="AZ2393" s="94" t="s">
        <v>2927</v>
      </c>
      <c r="BA2393" s="88" t="s">
        <v>67</v>
      </c>
      <c r="BC2393" s="93">
        <f>AW2393+AX2393</f>
        <v>0</v>
      </c>
      <c r="BD2393" s="93">
        <f>H2393/(100-BE2393)*100</f>
        <v>0</v>
      </c>
      <c r="BE2393" s="93">
        <v>0</v>
      </c>
      <c r="BF2393" s="93">
        <f>O2393</f>
        <v>0</v>
      </c>
      <c r="BH2393" s="93">
        <f>G2393*AO2393</f>
        <v>0</v>
      </c>
      <c r="BI2393" s="93">
        <f>G2393*AP2393</f>
        <v>0</v>
      </c>
      <c r="BJ2393" s="93">
        <f>G2393*H2393</f>
        <v>0</v>
      </c>
      <c r="BK2393" s="93"/>
      <c r="BL2393" s="93"/>
      <c r="BW2393" s="93" t="str">
        <f>I2393</f>
        <v>21</v>
      </c>
      <c r="BX2393" s="2" t="s">
        <v>3078</v>
      </c>
    </row>
    <row r="2394" spans="1:76" s="81" customFormat="1" x14ac:dyDescent="0.25">
      <c r="A2394" s="110"/>
      <c r="B2394" s="95"/>
      <c r="C2394" s="95"/>
      <c r="D2394" s="76" t="s">
        <v>3179</v>
      </c>
      <c r="E2394" s="76" t="s">
        <v>54</v>
      </c>
      <c r="F2394" s="95"/>
      <c r="G2394" s="96">
        <v>243</v>
      </c>
      <c r="H2394" s="95"/>
      <c r="I2394" s="95"/>
      <c r="J2394" s="95"/>
      <c r="K2394" s="95"/>
      <c r="L2394" s="95"/>
      <c r="M2394" s="95"/>
      <c r="N2394" s="95"/>
      <c r="O2394" s="95"/>
      <c r="P2394" s="95"/>
    </row>
    <row r="2395" spans="1:76" s="81" customFormat="1" ht="25.5" x14ac:dyDescent="0.25">
      <c r="A2395" s="66" t="s">
        <v>3189</v>
      </c>
      <c r="B2395" s="72" t="s">
        <v>55</v>
      </c>
      <c r="C2395" s="72" t="s">
        <v>3181</v>
      </c>
      <c r="D2395" s="174" t="s">
        <v>3182</v>
      </c>
      <c r="E2395" s="174"/>
      <c r="F2395" s="72" t="s">
        <v>203</v>
      </c>
      <c r="G2395" s="90">
        <v>1</v>
      </c>
      <c r="H2395" s="91"/>
      <c r="I2395" s="92" t="s">
        <v>63</v>
      </c>
      <c r="J2395" s="90">
        <f t="shared" ref="J2395:J2400" si="437">G2395*AO2395</f>
        <v>0</v>
      </c>
      <c r="K2395" s="90">
        <f t="shared" ref="K2395:K2400" si="438">G2395*AP2395</f>
        <v>0</v>
      </c>
      <c r="L2395" s="90">
        <f t="shared" ref="L2395:L2400" si="439">G2395*H2395</f>
        <v>0</v>
      </c>
      <c r="M2395" s="90">
        <f t="shared" ref="M2395:M2400" si="440">L2395*(1+BW2395/100)</f>
        <v>0</v>
      </c>
      <c r="N2395" s="90">
        <v>4.7620000000000003E-2</v>
      </c>
      <c r="O2395" s="90">
        <f t="shared" ref="O2395:O2400" si="441">G2395*N2395</f>
        <v>4.7620000000000003E-2</v>
      </c>
      <c r="P2395" s="92" t="s">
        <v>64</v>
      </c>
      <c r="Z2395" s="93">
        <f t="shared" ref="Z2395:Z2400" si="442">IF(AQ2395="5",BJ2395,0)</f>
        <v>0</v>
      </c>
      <c r="AB2395" s="93">
        <f t="shared" ref="AB2395:AB2400" si="443">IF(AQ2395="1",BH2395,0)</f>
        <v>0</v>
      </c>
      <c r="AC2395" s="93">
        <f t="shared" ref="AC2395:AC2400" si="444">IF(AQ2395="1",BI2395,0)</f>
        <v>0</v>
      </c>
      <c r="AD2395" s="93">
        <f t="shared" ref="AD2395:AD2400" si="445">IF(AQ2395="7",BH2395,0)</f>
        <v>0</v>
      </c>
      <c r="AE2395" s="93">
        <f t="shared" ref="AE2395:AE2400" si="446">IF(AQ2395="7",BI2395,0)</f>
        <v>0</v>
      </c>
      <c r="AF2395" s="93">
        <f t="shared" ref="AF2395:AF2400" si="447">IF(AQ2395="2",BH2395,0)</f>
        <v>0</v>
      </c>
      <c r="AG2395" s="93">
        <f t="shared" ref="AG2395:AG2400" si="448">IF(AQ2395="2",BI2395,0)</f>
        <v>0</v>
      </c>
      <c r="AH2395" s="93">
        <f t="shared" ref="AH2395:AH2400" si="449">IF(AQ2395="0",BJ2395,0)</f>
        <v>0</v>
      </c>
      <c r="AI2395" s="88" t="s">
        <v>55</v>
      </c>
      <c r="AJ2395" s="93">
        <f t="shared" ref="AJ2395:AJ2400" si="450">IF(AN2395=0,L2395,0)</f>
        <v>0</v>
      </c>
      <c r="AK2395" s="93">
        <f t="shared" ref="AK2395:AK2400" si="451">IF(AN2395=12,L2395,0)</f>
        <v>0</v>
      </c>
      <c r="AL2395" s="93">
        <f t="shared" ref="AL2395:AL2400" si="452">IF(AN2395=21,L2395,0)</f>
        <v>0</v>
      </c>
      <c r="AN2395" s="93">
        <v>21</v>
      </c>
      <c r="AO2395" s="93">
        <f>H2395*0.913479048</f>
        <v>0</v>
      </c>
      <c r="AP2395" s="93">
        <f>H2395*(1-0.913479048)</f>
        <v>0</v>
      </c>
      <c r="AQ2395" s="94" t="s">
        <v>148</v>
      </c>
      <c r="AV2395" s="93">
        <f t="shared" ref="AV2395:AV2400" si="453">AW2395+AX2395</f>
        <v>0</v>
      </c>
      <c r="AW2395" s="93">
        <f t="shared" ref="AW2395:AW2400" si="454">G2395*AO2395</f>
        <v>0</v>
      </c>
      <c r="AX2395" s="93">
        <f t="shared" ref="AX2395:AX2400" si="455">G2395*AP2395</f>
        <v>0</v>
      </c>
      <c r="AY2395" s="94" t="s">
        <v>3131</v>
      </c>
      <c r="AZ2395" s="94" t="s">
        <v>2927</v>
      </c>
      <c r="BA2395" s="88" t="s">
        <v>67</v>
      </c>
      <c r="BC2395" s="93">
        <f t="shared" ref="BC2395:BC2400" si="456">AW2395+AX2395</f>
        <v>0</v>
      </c>
      <c r="BD2395" s="93">
        <f t="shared" ref="BD2395:BD2400" si="457">H2395/(100-BE2395)*100</f>
        <v>0</v>
      </c>
      <c r="BE2395" s="93">
        <v>0</v>
      </c>
      <c r="BF2395" s="93">
        <f t="shared" ref="BF2395:BF2400" si="458">O2395</f>
        <v>4.7620000000000003E-2</v>
      </c>
      <c r="BH2395" s="93">
        <f t="shared" ref="BH2395:BH2400" si="459">G2395*AO2395</f>
        <v>0</v>
      </c>
      <c r="BI2395" s="93">
        <f t="shared" ref="BI2395:BI2400" si="460">G2395*AP2395</f>
        <v>0</v>
      </c>
      <c r="BJ2395" s="93">
        <f t="shared" ref="BJ2395:BJ2400" si="461">G2395*H2395</f>
        <v>0</v>
      </c>
      <c r="BK2395" s="93"/>
      <c r="BL2395" s="93"/>
      <c r="BW2395" s="93" t="str">
        <f t="shared" ref="BW2395:BW2400" si="462">I2395</f>
        <v>21</v>
      </c>
      <c r="BX2395" s="2" t="s">
        <v>3182</v>
      </c>
    </row>
    <row r="2396" spans="1:76" s="81" customFormat="1" ht="25.5" x14ac:dyDescent="0.25">
      <c r="A2396" s="66" t="s">
        <v>3191</v>
      </c>
      <c r="B2396" s="72" t="s">
        <v>55</v>
      </c>
      <c r="C2396" s="72" t="s">
        <v>3184</v>
      </c>
      <c r="D2396" s="174" t="s">
        <v>3185</v>
      </c>
      <c r="E2396" s="174"/>
      <c r="F2396" s="72" t="s">
        <v>203</v>
      </c>
      <c r="G2396" s="90">
        <v>1</v>
      </c>
      <c r="H2396" s="91"/>
      <c r="I2396" s="92" t="s">
        <v>63</v>
      </c>
      <c r="J2396" s="90">
        <f t="shared" si="437"/>
        <v>0</v>
      </c>
      <c r="K2396" s="90">
        <f t="shared" si="438"/>
        <v>0</v>
      </c>
      <c r="L2396" s="90">
        <f t="shared" si="439"/>
        <v>0</v>
      </c>
      <c r="M2396" s="90">
        <f t="shared" si="440"/>
        <v>0</v>
      </c>
      <c r="N2396" s="90">
        <v>0</v>
      </c>
      <c r="O2396" s="90">
        <f t="shared" si="441"/>
        <v>0</v>
      </c>
      <c r="P2396" s="92" t="s">
        <v>578</v>
      </c>
      <c r="Z2396" s="93">
        <f t="shared" si="442"/>
        <v>0</v>
      </c>
      <c r="AB2396" s="93">
        <f t="shared" si="443"/>
        <v>0</v>
      </c>
      <c r="AC2396" s="93">
        <f t="shared" si="444"/>
        <v>0</v>
      </c>
      <c r="AD2396" s="93">
        <f t="shared" si="445"/>
        <v>0</v>
      </c>
      <c r="AE2396" s="93">
        <f t="shared" si="446"/>
        <v>0</v>
      </c>
      <c r="AF2396" s="93">
        <f t="shared" si="447"/>
        <v>0</v>
      </c>
      <c r="AG2396" s="93">
        <f t="shared" si="448"/>
        <v>0</v>
      </c>
      <c r="AH2396" s="93">
        <f t="shared" si="449"/>
        <v>0</v>
      </c>
      <c r="AI2396" s="88" t="s">
        <v>55</v>
      </c>
      <c r="AJ2396" s="93">
        <f t="shared" si="450"/>
        <v>0</v>
      </c>
      <c r="AK2396" s="93">
        <f t="shared" si="451"/>
        <v>0</v>
      </c>
      <c r="AL2396" s="93">
        <f t="shared" si="452"/>
        <v>0</v>
      </c>
      <c r="AN2396" s="93">
        <v>21</v>
      </c>
      <c r="AO2396" s="93">
        <f>H2396*0</f>
        <v>0</v>
      </c>
      <c r="AP2396" s="93">
        <f>H2396*(1-0)</f>
        <v>0</v>
      </c>
      <c r="AQ2396" s="94" t="s">
        <v>148</v>
      </c>
      <c r="AV2396" s="93">
        <f t="shared" si="453"/>
        <v>0</v>
      </c>
      <c r="AW2396" s="93">
        <f t="shared" si="454"/>
        <v>0</v>
      </c>
      <c r="AX2396" s="93">
        <f t="shared" si="455"/>
        <v>0</v>
      </c>
      <c r="AY2396" s="94" t="s">
        <v>3131</v>
      </c>
      <c r="AZ2396" s="94" t="s">
        <v>2927</v>
      </c>
      <c r="BA2396" s="88" t="s">
        <v>67</v>
      </c>
      <c r="BC2396" s="93">
        <f t="shared" si="456"/>
        <v>0</v>
      </c>
      <c r="BD2396" s="93">
        <f t="shared" si="457"/>
        <v>0</v>
      </c>
      <c r="BE2396" s="93">
        <v>0</v>
      </c>
      <c r="BF2396" s="93">
        <f t="shared" si="458"/>
        <v>0</v>
      </c>
      <c r="BH2396" s="93">
        <f t="shared" si="459"/>
        <v>0</v>
      </c>
      <c r="BI2396" s="93">
        <f t="shared" si="460"/>
        <v>0</v>
      </c>
      <c r="BJ2396" s="93">
        <f t="shared" si="461"/>
        <v>0</v>
      </c>
      <c r="BK2396" s="93"/>
      <c r="BL2396" s="93"/>
      <c r="BW2396" s="93" t="str">
        <f t="shared" si="462"/>
        <v>21</v>
      </c>
      <c r="BX2396" s="2" t="s">
        <v>3185</v>
      </c>
    </row>
    <row r="2397" spans="1:76" s="81" customFormat="1" ht="25.5" x14ac:dyDescent="0.25">
      <c r="A2397" s="66" t="s">
        <v>3193</v>
      </c>
      <c r="B2397" s="72" t="s">
        <v>55</v>
      </c>
      <c r="C2397" s="72" t="s">
        <v>3187</v>
      </c>
      <c r="D2397" s="174" t="s">
        <v>3188</v>
      </c>
      <c r="E2397" s="174"/>
      <c r="F2397" s="72" t="s">
        <v>203</v>
      </c>
      <c r="G2397" s="90">
        <v>10</v>
      </c>
      <c r="H2397" s="91"/>
      <c r="I2397" s="92" t="s">
        <v>63</v>
      </c>
      <c r="J2397" s="90">
        <f t="shared" si="437"/>
        <v>0</v>
      </c>
      <c r="K2397" s="90">
        <f t="shared" si="438"/>
        <v>0</v>
      </c>
      <c r="L2397" s="90">
        <f t="shared" si="439"/>
        <v>0</v>
      </c>
      <c r="M2397" s="90">
        <f t="shared" si="440"/>
        <v>0</v>
      </c>
      <c r="N2397" s="90">
        <v>1.191E-2</v>
      </c>
      <c r="O2397" s="90">
        <f t="shared" si="441"/>
        <v>0.11910000000000001</v>
      </c>
      <c r="P2397" s="92" t="s">
        <v>371</v>
      </c>
      <c r="Z2397" s="93">
        <f t="shared" si="442"/>
        <v>0</v>
      </c>
      <c r="AB2397" s="93">
        <f t="shared" si="443"/>
        <v>0</v>
      </c>
      <c r="AC2397" s="93">
        <f t="shared" si="444"/>
        <v>0</v>
      </c>
      <c r="AD2397" s="93">
        <f t="shared" si="445"/>
        <v>0</v>
      </c>
      <c r="AE2397" s="93">
        <f t="shared" si="446"/>
        <v>0</v>
      </c>
      <c r="AF2397" s="93">
        <f t="shared" si="447"/>
        <v>0</v>
      </c>
      <c r="AG2397" s="93">
        <f t="shared" si="448"/>
        <v>0</v>
      </c>
      <c r="AH2397" s="93">
        <f t="shared" si="449"/>
        <v>0</v>
      </c>
      <c r="AI2397" s="88" t="s">
        <v>55</v>
      </c>
      <c r="AJ2397" s="93">
        <f t="shared" si="450"/>
        <v>0</v>
      </c>
      <c r="AK2397" s="93">
        <f t="shared" si="451"/>
        <v>0</v>
      </c>
      <c r="AL2397" s="93">
        <f t="shared" si="452"/>
        <v>0</v>
      </c>
      <c r="AN2397" s="93">
        <v>21</v>
      </c>
      <c r="AO2397" s="93">
        <f>H2397*0.971237627</f>
        <v>0</v>
      </c>
      <c r="AP2397" s="93">
        <f>H2397*(1-0.971237627)</f>
        <v>0</v>
      </c>
      <c r="AQ2397" s="94" t="s">
        <v>148</v>
      </c>
      <c r="AV2397" s="93">
        <f t="shared" si="453"/>
        <v>0</v>
      </c>
      <c r="AW2397" s="93">
        <f t="shared" si="454"/>
        <v>0</v>
      </c>
      <c r="AX2397" s="93">
        <f t="shared" si="455"/>
        <v>0</v>
      </c>
      <c r="AY2397" s="94" t="s">
        <v>3131</v>
      </c>
      <c r="AZ2397" s="94" t="s">
        <v>2927</v>
      </c>
      <c r="BA2397" s="88" t="s">
        <v>67</v>
      </c>
      <c r="BC2397" s="93">
        <f t="shared" si="456"/>
        <v>0</v>
      </c>
      <c r="BD2397" s="93">
        <f t="shared" si="457"/>
        <v>0</v>
      </c>
      <c r="BE2397" s="93">
        <v>0</v>
      </c>
      <c r="BF2397" s="93">
        <f t="shared" si="458"/>
        <v>0.11910000000000001</v>
      </c>
      <c r="BH2397" s="93">
        <f t="shared" si="459"/>
        <v>0</v>
      </c>
      <c r="BI2397" s="93">
        <f t="shared" si="460"/>
        <v>0</v>
      </c>
      <c r="BJ2397" s="93">
        <f t="shared" si="461"/>
        <v>0</v>
      </c>
      <c r="BK2397" s="93"/>
      <c r="BL2397" s="93"/>
      <c r="BW2397" s="93" t="str">
        <f t="shared" si="462"/>
        <v>21</v>
      </c>
      <c r="BX2397" s="2" t="s">
        <v>3188</v>
      </c>
    </row>
    <row r="2398" spans="1:76" s="81" customFormat="1" ht="25.5" x14ac:dyDescent="0.25">
      <c r="A2398" s="66" t="s">
        <v>3197</v>
      </c>
      <c r="B2398" s="72" t="s">
        <v>55</v>
      </c>
      <c r="C2398" s="72" t="s">
        <v>1330</v>
      </c>
      <c r="D2398" s="174" t="s">
        <v>3190</v>
      </c>
      <c r="E2398" s="174"/>
      <c r="F2398" s="72" t="s">
        <v>1332</v>
      </c>
      <c r="G2398" s="90">
        <v>1</v>
      </c>
      <c r="H2398" s="91"/>
      <c r="I2398" s="92" t="s">
        <v>63</v>
      </c>
      <c r="J2398" s="90">
        <f t="shared" si="437"/>
        <v>0</v>
      </c>
      <c r="K2398" s="90">
        <f t="shared" si="438"/>
        <v>0</v>
      </c>
      <c r="L2398" s="90">
        <f t="shared" si="439"/>
        <v>0</v>
      </c>
      <c r="M2398" s="90">
        <f t="shared" si="440"/>
        <v>0</v>
      </c>
      <c r="N2398" s="90">
        <v>0.5</v>
      </c>
      <c r="O2398" s="90">
        <f t="shared" si="441"/>
        <v>0.5</v>
      </c>
      <c r="P2398" s="92" t="s">
        <v>578</v>
      </c>
      <c r="Z2398" s="93">
        <f t="shared" si="442"/>
        <v>0</v>
      </c>
      <c r="AB2398" s="93">
        <f t="shared" si="443"/>
        <v>0</v>
      </c>
      <c r="AC2398" s="93">
        <f t="shared" si="444"/>
        <v>0</v>
      </c>
      <c r="AD2398" s="93">
        <f t="shared" si="445"/>
        <v>0</v>
      </c>
      <c r="AE2398" s="93">
        <f t="shared" si="446"/>
        <v>0</v>
      </c>
      <c r="AF2398" s="93">
        <f t="shared" si="447"/>
        <v>0</v>
      </c>
      <c r="AG2398" s="93">
        <f t="shared" si="448"/>
        <v>0</v>
      </c>
      <c r="AH2398" s="93">
        <f t="shared" si="449"/>
        <v>0</v>
      </c>
      <c r="AI2398" s="88" t="s">
        <v>55</v>
      </c>
      <c r="AJ2398" s="93">
        <f t="shared" si="450"/>
        <v>0</v>
      </c>
      <c r="AK2398" s="93">
        <f t="shared" si="451"/>
        <v>0</v>
      </c>
      <c r="AL2398" s="93">
        <f t="shared" si="452"/>
        <v>0</v>
      </c>
      <c r="AN2398" s="93">
        <v>21</v>
      </c>
      <c r="AO2398" s="93">
        <f>H2398*0.0222935</f>
        <v>0</v>
      </c>
      <c r="AP2398" s="93">
        <f>H2398*(1-0.0222935)</f>
        <v>0</v>
      </c>
      <c r="AQ2398" s="94" t="s">
        <v>148</v>
      </c>
      <c r="AV2398" s="93">
        <f t="shared" si="453"/>
        <v>0</v>
      </c>
      <c r="AW2398" s="93">
        <f t="shared" si="454"/>
        <v>0</v>
      </c>
      <c r="AX2398" s="93">
        <f t="shared" si="455"/>
        <v>0</v>
      </c>
      <c r="AY2398" s="94" t="s">
        <v>3131</v>
      </c>
      <c r="AZ2398" s="94" t="s">
        <v>2927</v>
      </c>
      <c r="BA2398" s="88" t="s">
        <v>67</v>
      </c>
      <c r="BC2398" s="93">
        <f t="shared" si="456"/>
        <v>0</v>
      </c>
      <c r="BD2398" s="93">
        <f t="shared" si="457"/>
        <v>0</v>
      </c>
      <c r="BE2398" s="93">
        <v>0</v>
      </c>
      <c r="BF2398" s="93">
        <f t="shared" si="458"/>
        <v>0.5</v>
      </c>
      <c r="BH2398" s="93">
        <f t="shared" si="459"/>
        <v>0</v>
      </c>
      <c r="BI2398" s="93">
        <f t="shared" si="460"/>
        <v>0</v>
      </c>
      <c r="BJ2398" s="93">
        <f t="shared" si="461"/>
        <v>0</v>
      </c>
      <c r="BK2398" s="93"/>
      <c r="BL2398" s="93"/>
      <c r="BW2398" s="93" t="str">
        <f t="shared" si="462"/>
        <v>21</v>
      </c>
      <c r="BX2398" s="2" t="s">
        <v>3190</v>
      </c>
    </row>
    <row r="2399" spans="1:76" s="81" customFormat="1" ht="25.5" x14ac:dyDescent="0.25">
      <c r="A2399" s="66" t="s">
        <v>3200</v>
      </c>
      <c r="B2399" s="72" t="s">
        <v>55</v>
      </c>
      <c r="C2399" s="72" t="s">
        <v>1350</v>
      </c>
      <c r="D2399" s="174" t="s">
        <v>3192</v>
      </c>
      <c r="E2399" s="174"/>
      <c r="F2399" s="72" t="s">
        <v>222</v>
      </c>
      <c r="G2399" s="90">
        <v>167.92984999999999</v>
      </c>
      <c r="H2399" s="91"/>
      <c r="I2399" s="92" t="s">
        <v>63</v>
      </c>
      <c r="J2399" s="90">
        <f t="shared" si="437"/>
        <v>0</v>
      </c>
      <c r="K2399" s="90">
        <f t="shared" si="438"/>
        <v>0</v>
      </c>
      <c r="L2399" s="90">
        <f t="shared" si="439"/>
        <v>0</v>
      </c>
      <c r="M2399" s="90">
        <f t="shared" si="440"/>
        <v>0</v>
      </c>
      <c r="N2399" s="90">
        <v>0</v>
      </c>
      <c r="O2399" s="90">
        <f t="shared" si="441"/>
        <v>0</v>
      </c>
      <c r="P2399" s="92" t="s">
        <v>64</v>
      </c>
      <c r="Z2399" s="93">
        <f t="shared" si="442"/>
        <v>0</v>
      </c>
      <c r="AB2399" s="93">
        <f t="shared" si="443"/>
        <v>0</v>
      </c>
      <c r="AC2399" s="93">
        <f t="shared" si="444"/>
        <v>0</v>
      </c>
      <c r="AD2399" s="93">
        <f t="shared" si="445"/>
        <v>0</v>
      </c>
      <c r="AE2399" s="93">
        <f t="shared" si="446"/>
        <v>0</v>
      </c>
      <c r="AF2399" s="93">
        <f t="shared" si="447"/>
        <v>0</v>
      </c>
      <c r="AG2399" s="93">
        <f t="shared" si="448"/>
        <v>0</v>
      </c>
      <c r="AH2399" s="93">
        <f t="shared" si="449"/>
        <v>0</v>
      </c>
      <c r="AI2399" s="88" t="s">
        <v>55</v>
      </c>
      <c r="AJ2399" s="93">
        <f t="shared" si="450"/>
        <v>0</v>
      </c>
      <c r="AK2399" s="93">
        <f t="shared" si="451"/>
        <v>0</v>
      </c>
      <c r="AL2399" s="93">
        <f t="shared" si="452"/>
        <v>0</v>
      </c>
      <c r="AN2399" s="93">
        <v>21</v>
      </c>
      <c r="AO2399" s="93">
        <f>H2399*0</f>
        <v>0</v>
      </c>
      <c r="AP2399" s="93">
        <f>H2399*(1-0)</f>
        <v>0</v>
      </c>
      <c r="AQ2399" s="94" t="s">
        <v>136</v>
      </c>
      <c r="AV2399" s="93">
        <f t="shared" si="453"/>
        <v>0</v>
      </c>
      <c r="AW2399" s="93">
        <f t="shared" si="454"/>
        <v>0</v>
      </c>
      <c r="AX2399" s="93">
        <f t="shared" si="455"/>
        <v>0</v>
      </c>
      <c r="AY2399" s="94" t="s">
        <v>3131</v>
      </c>
      <c r="AZ2399" s="94" t="s">
        <v>2927</v>
      </c>
      <c r="BA2399" s="88" t="s">
        <v>67</v>
      </c>
      <c r="BC2399" s="93">
        <f t="shared" si="456"/>
        <v>0</v>
      </c>
      <c r="BD2399" s="93">
        <f t="shared" si="457"/>
        <v>0</v>
      </c>
      <c r="BE2399" s="93">
        <v>0</v>
      </c>
      <c r="BF2399" s="93">
        <f t="shared" si="458"/>
        <v>0</v>
      </c>
      <c r="BH2399" s="93">
        <f t="shared" si="459"/>
        <v>0</v>
      </c>
      <c r="BI2399" s="93">
        <f t="shared" si="460"/>
        <v>0</v>
      </c>
      <c r="BJ2399" s="93">
        <f t="shared" si="461"/>
        <v>0</v>
      </c>
      <c r="BK2399" s="93"/>
      <c r="BL2399" s="93"/>
      <c r="BW2399" s="93" t="str">
        <f t="shared" si="462"/>
        <v>21</v>
      </c>
      <c r="BX2399" s="2" t="s">
        <v>3192</v>
      </c>
    </row>
    <row r="2400" spans="1:76" s="81" customFormat="1" ht="25.5" x14ac:dyDescent="0.25">
      <c r="A2400" s="66" t="s">
        <v>3203</v>
      </c>
      <c r="B2400" s="72" t="s">
        <v>55</v>
      </c>
      <c r="C2400" s="72" t="s">
        <v>3194</v>
      </c>
      <c r="D2400" s="174" t="s">
        <v>3195</v>
      </c>
      <c r="E2400" s="174"/>
      <c r="F2400" s="72" t="s">
        <v>203</v>
      </c>
      <c r="G2400" s="90">
        <v>7</v>
      </c>
      <c r="H2400" s="91"/>
      <c r="I2400" s="92" t="s">
        <v>63</v>
      </c>
      <c r="J2400" s="90">
        <f t="shared" si="437"/>
        <v>0</v>
      </c>
      <c r="K2400" s="90">
        <f t="shared" si="438"/>
        <v>0</v>
      </c>
      <c r="L2400" s="90">
        <f t="shared" si="439"/>
        <v>0</v>
      </c>
      <c r="M2400" s="90">
        <f t="shared" si="440"/>
        <v>0</v>
      </c>
      <c r="N2400" s="90">
        <v>3.8500000000000001E-3</v>
      </c>
      <c r="O2400" s="90">
        <f t="shared" si="441"/>
        <v>2.6950000000000002E-2</v>
      </c>
      <c r="P2400" s="92" t="s">
        <v>64</v>
      </c>
      <c r="Z2400" s="93">
        <f t="shared" si="442"/>
        <v>0</v>
      </c>
      <c r="AB2400" s="93">
        <f t="shared" si="443"/>
        <v>0</v>
      </c>
      <c r="AC2400" s="93">
        <f t="shared" si="444"/>
        <v>0</v>
      </c>
      <c r="AD2400" s="93">
        <f t="shared" si="445"/>
        <v>0</v>
      </c>
      <c r="AE2400" s="93">
        <f t="shared" si="446"/>
        <v>0</v>
      </c>
      <c r="AF2400" s="93">
        <f t="shared" si="447"/>
        <v>0</v>
      </c>
      <c r="AG2400" s="93">
        <f t="shared" si="448"/>
        <v>0</v>
      </c>
      <c r="AH2400" s="93">
        <f t="shared" si="449"/>
        <v>0</v>
      </c>
      <c r="AI2400" s="88" t="s">
        <v>55</v>
      </c>
      <c r="AJ2400" s="93">
        <f t="shared" si="450"/>
        <v>0</v>
      </c>
      <c r="AK2400" s="93">
        <f t="shared" si="451"/>
        <v>0</v>
      </c>
      <c r="AL2400" s="93">
        <f t="shared" si="452"/>
        <v>0</v>
      </c>
      <c r="AN2400" s="93">
        <v>21</v>
      </c>
      <c r="AO2400" s="93">
        <f>H2400*0.777559066</f>
        <v>0</v>
      </c>
      <c r="AP2400" s="93">
        <f>H2400*(1-0.777559066)</f>
        <v>0</v>
      </c>
      <c r="AQ2400" s="94" t="s">
        <v>148</v>
      </c>
      <c r="AV2400" s="93">
        <f t="shared" si="453"/>
        <v>0</v>
      </c>
      <c r="AW2400" s="93">
        <f t="shared" si="454"/>
        <v>0</v>
      </c>
      <c r="AX2400" s="93">
        <f t="shared" si="455"/>
        <v>0</v>
      </c>
      <c r="AY2400" s="94" t="s">
        <v>3131</v>
      </c>
      <c r="AZ2400" s="94" t="s">
        <v>2927</v>
      </c>
      <c r="BA2400" s="88" t="s">
        <v>67</v>
      </c>
      <c r="BC2400" s="93">
        <f t="shared" si="456"/>
        <v>0</v>
      </c>
      <c r="BD2400" s="93">
        <f t="shared" si="457"/>
        <v>0</v>
      </c>
      <c r="BE2400" s="93">
        <v>0</v>
      </c>
      <c r="BF2400" s="93">
        <f t="shared" si="458"/>
        <v>2.6950000000000002E-2</v>
      </c>
      <c r="BH2400" s="93">
        <f t="shared" si="459"/>
        <v>0</v>
      </c>
      <c r="BI2400" s="93">
        <f t="shared" si="460"/>
        <v>0</v>
      </c>
      <c r="BJ2400" s="93">
        <f t="shared" si="461"/>
        <v>0</v>
      </c>
      <c r="BK2400" s="93"/>
      <c r="BL2400" s="93"/>
      <c r="BW2400" s="93" t="str">
        <f t="shared" si="462"/>
        <v>21</v>
      </c>
      <c r="BX2400" s="2" t="s">
        <v>3195</v>
      </c>
    </row>
    <row r="2401" spans="1:76" s="81" customFormat="1" ht="13.5" customHeight="1" x14ac:dyDescent="0.25">
      <c r="A2401" s="110"/>
      <c r="B2401" s="95"/>
      <c r="C2401" s="95"/>
      <c r="D2401" s="179" t="s">
        <v>3196</v>
      </c>
      <c r="E2401" s="179"/>
      <c r="F2401" s="179"/>
      <c r="G2401" s="179"/>
      <c r="H2401" s="179"/>
      <c r="I2401" s="179"/>
      <c r="J2401" s="179"/>
      <c r="K2401" s="179"/>
      <c r="L2401" s="179"/>
      <c r="M2401" s="179"/>
      <c r="N2401" s="179"/>
      <c r="O2401" s="179"/>
      <c r="P2401" s="179"/>
    </row>
    <row r="2402" spans="1:76" s="81" customFormat="1" ht="25.5" x14ac:dyDescent="0.25">
      <c r="A2402" s="66" t="s">
        <v>3205</v>
      </c>
      <c r="B2402" s="72" t="s">
        <v>55</v>
      </c>
      <c r="C2402" s="72" t="s">
        <v>3198</v>
      </c>
      <c r="D2402" s="174" t="s">
        <v>3195</v>
      </c>
      <c r="E2402" s="174"/>
      <c r="F2402" s="72" t="s">
        <v>203</v>
      </c>
      <c r="G2402" s="90">
        <v>1</v>
      </c>
      <c r="H2402" s="91"/>
      <c r="I2402" s="92" t="s">
        <v>63</v>
      </c>
      <c r="J2402" s="90">
        <f>G2402*AO2402</f>
        <v>0</v>
      </c>
      <c r="K2402" s="90">
        <f>G2402*AP2402</f>
        <v>0</v>
      </c>
      <c r="L2402" s="90">
        <f>G2402*H2402</f>
        <v>0</v>
      </c>
      <c r="M2402" s="90">
        <f>L2402*(1+BW2402/100)</f>
        <v>0</v>
      </c>
      <c r="N2402" s="90">
        <v>3.7499999999999999E-3</v>
      </c>
      <c r="O2402" s="90">
        <f>G2402*N2402</f>
        <v>3.7499999999999999E-3</v>
      </c>
      <c r="P2402" s="92" t="s">
        <v>64</v>
      </c>
      <c r="Z2402" s="93">
        <f>IF(AQ2402="5",BJ2402,0)</f>
        <v>0</v>
      </c>
      <c r="AB2402" s="93">
        <f>IF(AQ2402="1",BH2402,0)</f>
        <v>0</v>
      </c>
      <c r="AC2402" s="93">
        <f>IF(AQ2402="1",BI2402,0)</f>
        <v>0</v>
      </c>
      <c r="AD2402" s="93">
        <f>IF(AQ2402="7",BH2402,0)</f>
        <v>0</v>
      </c>
      <c r="AE2402" s="93">
        <f>IF(AQ2402="7",BI2402,0)</f>
        <v>0</v>
      </c>
      <c r="AF2402" s="93">
        <f>IF(AQ2402="2",BH2402,0)</f>
        <v>0</v>
      </c>
      <c r="AG2402" s="93">
        <f>IF(AQ2402="2",BI2402,0)</f>
        <v>0</v>
      </c>
      <c r="AH2402" s="93">
        <f>IF(AQ2402="0",BJ2402,0)</f>
        <v>0</v>
      </c>
      <c r="AI2402" s="88" t="s">
        <v>55</v>
      </c>
      <c r="AJ2402" s="93">
        <f>IF(AN2402=0,L2402,0)</f>
        <v>0</v>
      </c>
      <c r="AK2402" s="93">
        <f>IF(AN2402=12,L2402,0)</f>
        <v>0</v>
      </c>
      <c r="AL2402" s="93">
        <f>IF(AN2402=21,L2402,0)</f>
        <v>0</v>
      </c>
      <c r="AN2402" s="93">
        <v>21</v>
      </c>
      <c r="AO2402" s="93">
        <f>H2402*0.773600611</f>
        <v>0</v>
      </c>
      <c r="AP2402" s="93">
        <f>H2402*(1-0.773600611)</f>
        <v>0</v>
      </c>
      <c r="AQ2402" s="94" t="s">
        <v>148</v>
      </c>
      <c r="AV2402" s="93">
        <f>AW2402+AX2402</f>
        <v>0</v>
      </c>
      <c r="AW2402" s="93">
        <f>G2402*AO2402</f>
        <v>0</v>
      </c>
      <c r="AX2402" s="93">
        <f>G2402*AP2402</f>
        <v>0</v>
      </c>
      <c r="AY2402" s="94" t="s">
        <v>3131</v>
      </c>
      <c r="AZ2402" s="94" t="s">
        <v>2927</v>
      </c>
      <c r="BA2402" s="88" t="s">
        <v>67</v>
      </c>
      <c r="BC2402" s="93">
        <f>AW2402+AX2402</f>
        <v>0</v>
      </c>
      <c r="BD2402" s="93">
        <f>H2402/(100-BE2402)*100</f>
        <v>0</v>
      </c>
      <c r="BE2402" s="93">
        <v>0</v>
      </c>
      <c r="BF2402" s="93">
        <f>O2402</f>
        <v>3.7499999999999999E-3</v>
      </c>
      <c r="BH2402" s="93">
        <f>G2402*AO2402</f>
        <v>0</v>
      </c>
      <c r="BI2402" s="93">
        <f>G2402*AP2402</f>
        <v>0</v>
      </c>
      <c r="BJ2402" s="93">
        <f>G2402*H2402</f>
        <v>0</v>
      </c>
      <c r="BK2402" s="93"/>
      <c r="BL2402" s="93"/>
      <c r="BW2402" s="93" t="str">
        <f>I2402</f>
        <v>21</v>
      </c>
      <c r="BX2402" s="2" t="s">
        <v>3195</v>
      </c>
    </row>
    <row r="2403" spans="1:76" s="81" customFormat="1" ht="13.5" customHeight="1" x14ac:dyDescent="0.25">
      <c r="A2403" s="110"/>
      <c r="B2403" s="95"/>
      <c r="C2403" s="95"/>
      <c r="D2403" s="179" t="s">
        <v>3199</v>
      </c>
      <c r="E2403" s="179"/>
      <c r="F2403" s="179"/>
      <c r="G2403" s="179"/>
      <c r="H2403" s="179"/>
      <c r="I2403" s="179"/>
      <c r="J2403" s="179"/>
      <c r="K2403" s="179"/>
      <c r="L2403" s="179"/>
      <c r="M2403" s="179"/>
      <c r="N2403" s="179"/>
      <c r="O2403" s="179"/>
      <c r="P2403" s="179"/>
    </row>
    <row r="2404" spans="1:76" s="81" customFormat="1" ht="25.5" x14ac:dyDescent="0.25">
      <c r="A2404" s="66" t="s">
        <v>3206</v>
      </c>
      <c r="B2404" s="72" t="s">
        <v>55</v>
      </c>
      <c r="C2404" s="72" t="s">
        <v>3201</v>
      </c>
      <c r="D2404" s="174" t="s">
        <v>3202</v>
      </c>
      <c r="E2404" s="174"/>
      <c r="F2404" s="72" t="s">
        <v>203</v>
      </c>
      <c r="G2404" s="90">
        <v>1</v>
      </c>
      <c r="H2404" s="91"/>
      <c r="I2404" s="92" t="s">
        <v>63</v>
      </c>
      <c r="J2404" s="90">
        <f>G2404*AO2404</f>
        <v>0</v>
      </c>
      <c r="K2404" s="90">
        <f>G2404*AP2404</f>
        <v>0</v>
      </c>
      <c r="L2404" s="90">
        <f>G2404*H2404</f>
        <v>0</v>
      </c>
      <c r="M2404" s="90">
        <f>L2404*(1+BW2404/100)</f>
        <v>0</v>
      </c>
      <c r="N2404" s="90">
        <v>1.15E-3</v>
      </c>
      <c r="O2404" s="90">
        <f>G2404*N2404</f>
        <v>1.15E-3</v>
      </c>
      <c r="P2404" s="92" t="s">
        <v>64</v>
      </c>
      <c r="Z2404" s="93">
        <f>IF(AQ2404="5",BJ2404,0)</f>
        <v>0</v>
      </c>
      <c r="AB2404" s="93">
        <f>IF(AQ2404="1",BH2404,0)</f>
        <v>0</v>
      </c>
      <c r="AC2404" s="93">
        <f>IF(AQ2404="1",BI2404,0)</f>
        <v>0</v>
      </c>
      <c r="AD2404" s="93">
        <f>IF(AQ2404="7",BH2404,0)</f>
        <v>0</v>
      </c>
      <c r="AE2404" s="93">
        <f>IF(AQ2404="7",BI2404,0)</f>
        <v>0</v>
      </c>
      <c r="AF2404" s="93">
        <f>IF(AQ2404="2",BH2404,0)</f>
        <v>0</v>
      </c>
      <c r="AG2404" s="93">
        <f>IF(AQ2404="2",BI2404,0)</f>
        <v>0</v>
      </c>
      <c r="AH2404" s="93">
        <f>IF(AQ2404="0",BJ2404,0)</f>
        <v>0</v>
      </c>
      <c r="AI2404" s="88" t="s">
        <v>55</v>
      </c>
      <c r="AJ2404" s="93">
        <f>IF(AN2404=0,L2404,0)</f>
        <v>0</v>
      </c>
      <c r="AK2404" s="93">
        <f>IF(AN2404=12,L2404,0)</f>
        <v>0</v>
      </c>
      <c r="AL2404" s="93">
        <f>IF(AN2404=21,L2404,0)</f>
        <v>0</v>
      </c>
      <c r="AN2404" s="93">
        <v>21</v>
      </c>
      <c r="AO2404" s="93">
        <f>H2404*0.762062756</f>
        <v>0</v>
      </c>
      <c r="AP2404" s="93">
        <f>H2404*(1-0.762062756)</f>
        <v>0</v>
      </c>
      <c r="AQ2404" s="94" t="s">
        <v>148</v>
      </c>
      <c r="AV2404" s="93">
        <f>AW2404+AX2404</f>
        <v>0</v>
      </c>
      <c r="AW2404" s="93">
        <f>G2404*AO2404</f>
        <v>0</v>
      </c>
      <c r="AX2404" s="93">
        <f>G2404*AP2404</f>
        <v>0</v>
      </c>
      <c r="AY2404" s="94" t="s">
        <v>3131</v>
      </c>
      <c r="AZ2404" s="94" t="s">
        <v>2927</v>
      </c>
      <c r="BA2404" s="88" t="s">
        <v>67</v>
      </c>
      <c r="BC2404" s="93">
        <f>AW2404+AX2404</f>
        <v>0</v>
      </c>
      <c r="BD2404" s="93">
        <f>H2404/(100-BE2404)*100</f>
        <v>0</v>
      </c>
      <c r="BE2404" s="93">
        <v>0</v>
      </c>
      <c r="BF2404" s="93">
        <f>O2404</f>
        <v>1.15E-3</v>
      </c>
      <c r="BH2404" s="93">
        <f>G2404*AO2404</f>
        <v>0</v>
      </c>
      <c r="BI2404" s="93">
        <f>G2404*AP2404</f>
        <v>0</v>
      </c>
      <c r="BJ2404" s="93">
        <f>G2404*H2404</f>
        <v>0</v>
      </c>
      <c r="BK2404" s="93"/>
      <c r="BL2404" s="93"/>
      <c r="BW2404" s="93" t="str">
        <f>I2404</f>
        <v>21</v>
      </c>
      <c r="BX2404" s="2" t="s">
        <v>3202</v>
      </c>
    </row>
    <row r="2405" spans="1:76" s="81" customFormat="1" ht="13.5" customHeight="1" x14ac:dyDescent="0.25">
      <c r="A2405" s="110"/>
      <c r="B2405" s="95"/>
      <c r="C2405" s="95"/>
      <c r="D2405" s="179" t="s">
        <v>3199</v>
      </c>
      <c r="E2405" s="179"/>
      <c r="F2405" s="179"/>
      <c r="G2405" s="179"/>
      <c r="H2405" s="179"/>
      <c r="I2405" s="179"/>
      <c r="J2405" s="179"/>
      <c r="K2405" s="179"/>
      <c r="L2405" s="179"/>
      <c r="M2405" s="179"/>
      <c r="N2405" s="179"/>
      <c r="O2405" s="179"/>
      <c r="P2405" s="179"/>
    </row>
    <row r="2406" spans="1:76" s="81" customFormat="1" ht="25.5" x14ac:dyDescent="0.25">
      <c r="A2406" s="66" t="s">
        <v>3209</v>
      </c>
      <c r="B2406" s="72" t="s">
        <v>55</v>
      </c>
      <c r="C2406" s="72" t="s">
        <v>3204</v>
      </c>
      <c r="D2406" s="174" t="s">
        <v>3202</v>
      </c>
      <c r="E2406" s="174"/>
      <c r="F2406" s="72" t="s">
        <v>203</v>
      </c>
      <c r="G2406" s="90">
        <v>7</v>
      </c>
      <c r="H2406" s="91"/>
      <c r="I2406" s="92" t="s">
        <v>63</v>
      </c>
      <c r="J2406" s="90">
        <f>G2406*AO2406</f>
        <v>0</v>
      </c>
      <c r="K2406" s="90">
        <f>G2406*AP2406</f>
        <v>0</v>
      </c>
      <c r="L2406" s="90">
        <f>G2406*H2406</f>
        <v>0</v>
      </c>
      <c r="M2406" s="90">
        <f>L2406*(1+BW2406/100)</f>
        <v>0</v>
      </c>
      <c r="N2406" s="90">
        <v>1.25E-3</v>
      </c>
      <c r="O2406" s="90">
        <f>G2406*N2406</f>
        <v>8.7500000000000008E-3</v>
      </c>
      <c r="P2406" s="92" t="s">
        <v>64</v>
      </c>
      <c r="Z2406" s="93">
        <f>IF(AQ2406="5",BJ2406,0)</f>
        <v>0</v>
      </c>
      <c r="AB2406" s="93">
        <f>IF(AQ2406="1",BH2406,0)</f>
        <v>0</v>
      </c>
      <c r="AC2406" s="93">
        <f>IF(AQ2406="1",BI2406,0)</f>
        <v>0</v>
      </c>
      <c r="AD2406" s="93">
        <f>IF(AQ2406="7",BH2406,0)</f>
        <v>0</v>
      </c>
      <c r="AE2406" s="93">
        <f>IF(AQ2406="7",BI2406,0)</f>
        <v>0</v>
      </c>
      <c r="AF2406" s="93">
        <f>IF(AQ2406="2",BH2406,0)</f>
        <v>0</v>
      </c>
      <c r="AG2406" s="93">
        <f>IF(AQ2406="2",BI2406,0)</f>
        <v>0</v>
      </c>
      <c r="AH2406" s="93">
        <f>IF(AQ2406="0",BJ2406,0)</f>
        <v>0</v>
      </c>
      <c r="AI2406" s="88" t="s">
        <v>55</v>
      </c>
      <c r="AJ2406" s="93">
        <f>IF(AN2406=0,L2406,0)</f>
        <v>0</v>
      </c>
      <c r="AK2406" s="93">
        <f>IF(AN2406=12,L2406,0)</f>
        <v>0</v>
      </c>
      <c r="AL2406" s="93">
        <f>IF(AN2406=21,L2406,0)</f>
        <v>0</v>
      </c>
      <c r="AN2406" s="93">
        <v>21</v>
      </c>
      <c r="AO2406" s="93">
        <f>H2406*0.766391322</f>
        <v>0</v>
      </c>
      <c r="AP2406" s="93">
        <f>H2406*(1-0.766391322)</f>
        <v>0</v>
      </c>
      <c r="AQ2406" s="94" t="s">
        <v>148</v>
      </c>
      <c r="AV2406" s="93">
        <f>AW2406+AX2406</f>
        <v>0</v>
      </c>
      <c r="AW2406" s="93">
        <f>G2406*AO2406</f>
        <v>0</v>
      </c>
      <c r="AX2406" s="93">
        <f>G2406*AP2406</f>
        <v>0</v>
      </c>
      <c r="AY2406" s="94" t="s">
        <v>3131</v>
      </c>
      <c r="AZ2406" s="94" t="s">
        <v>2927</v>
      </c>
      <c r="BA2406" s="88" t="s">
        <v>67</v>
      </c>
      <c r="BC2406" s="93">
        <f>AW2406+AX2406</f>
        <v>0</v>
      </c>
      <c r="BD2406" s="93">
        <f>H2406/(100-BE2406)*100</f>
        <v>0</v>
      </c>
      <c r="BE2406" s="93">
        <v>0</v>
      </c>
      <c r="BF2406" s="93">
        <f>O2406</f>
        <v>8.7500000000000008E-3</v>
      </c>
      <c r="BH2406" s="93">
        <f>G2406*AO2406</f>
        <v>0</v>
      </c>
      <c r="BI2406" s="93">
        <f>G2406*AP2406</f>
        <v>0</v>
      </c>
      <c r="BJ2406" s="93">
        <f>G2406*H2406</f>
        <v>0</v>
      </c>
      <c r="BK2406" s="93"/>
      <c r="BL2406" s="93"/>
      <c r="BW2406" s="93" t="str">
        <f>I2406</f>
        <v>21</v>
      </c>
      <c r="BX2406" s="2" t="s">
        <v>3202</v>
      </c>
    </row>
    <row r="2407" spans="1:76" s="81" customFormat="1" ht="13.5" customHeight="1" x14ac:dyDescent="0.25">
      <c r="A2407" s="110"/>
      <c r="B2407" s="95"/>
      <c r="C2407" s="95"/>
      <c r="D2407" s="179" t="s">
        <v>3196</v>
      </c>
      <c r="E2407" s="179"/>
      <c r="F2407" s="179"/>
      <c r="G2407" s="179"/>
      <c r="H2407" s="179"/>
      <c r="I2407" s="179"/>
      <c r="J2407" s="179"/>
      <c r="K2407" s="179"/>
      <c r="L2407" s="179"/>
      <c r="M2407" s="179"/>
      <c r="N2407" s="179"/>
      <c r="O2407" s="179"/>
      <c r="P2407" s="179"/>
    </row>
    <row r="2408" spans="1:76" s="81" customFormat="1" ht="25.5" x14ac:dyDescent="0.25">
      <c r="A2408" s="66" t="s">
        <v>3212</v>
      </c>
      <c r="B2408" s="72" t="s">
        <v>55</v>
      </c>
      <c r="C2408" s="72" t="s">
        <v>1518</v>
      </c>
      <c r="D2408" s="174" t="s">
        <v>1519</v>
      </c>
      <c r="E2408" s="174"/>
      <c r="F2408" s="72" t="s">
        <v>1447</v>
      </c>
      <c r="G2408" s="90">
        <v>281.9316</v>
      </c>
      <c r="H2408" s="91"/>
      <c r="I2408" s="92" t="s">
        <v>63</v>
      </c>
      <c r="J2408" s="90">
        <f>G2408*AO2408</f>
        <v>0</v>
      </c>
      <c r="K2408" s="90">
        <f>G2408*AP2408</f>
        <v>0</v>
      </c>
      <c r="L2408" s="90">
        <f>G2408*H2408</f>
        <v>0</v>
      </c>
      <c r="M2408" s="90">
        <f>L2408*(1+BW2408/100)</f>
        <v>0</v>
      </c>
      <c r="N2408" s="90">
        <v>0</v>
      </c>
      <c r="O2408" s="90">
        <f>G2408*N2408</f>
        <v>0</v>
      </c>
      <c r="P2408" s="92" t="s">
        <v>64</v>
      </c>
      <c r="Z2408" s="93">
        <f>IF(AQ2408="5",BJ2408,0)</f>
        <v>0</v>
      </c>
      <c r="AB2408" s="93">
        <f>IF(AQ2408="1",BH2408,0)</f>
        <v>0</v>
      </c>
      <c r="AC2408" s="93">
        <f>IF(AQ2408="1",BI2408,0)</f>
        <v>0</v>
      </c>
      <c r="AD2408" s="93">
        <f>IF(AQ2408="7",BH2408,0)</f>
        <v>0</v>
      </c>
      <c r="AE2408" s="93">
        <f>IF(AQ2408="7",BI2408,0)</f>
        <v>0</v>
      </c>
      <c r="AF2408" s="93">
        <f>IF(AQ2408="2",BH2408,0)</f>
        <v>0</v>
      </c>
      <c r="AG2408" s="93">
        <f>IF(AQ2408="2",BI2408,0)</f>
        <v>0</v>
      </c>
      <c r="AH2408" s="93">
        <f>IF(AQ2408="0",BJ2408,0)</f>
        <v>0</v>
      </c>
      <c r="AI2408" s="88" t="s">
        <v>55</v>
      </c>
      <c r="AJ2408" s="93">
        <f>IF(AN2408=0,L2408,0)</f>
        <v>0</v>
      </c>
      <c r="AK2408" s="93">
        <f>IF(AN2408=12,L2408,0)</f>
        <v>0</v>
      </c>
      <c r="AL2408" s="93">
        <f>IF(AN2408=21,L2408,0)</f>
        <v>0</v>
      </c>
      <c r="AN2408" s="93">
        <v>21</v>
      </c>
      <c r="AO2408" s="93">
        <f>H2408*0</f>
        <v>0</v>
      </c>
      <c r="AP2408" s="93">
        <f>H2408*(1-0)</f>
        <v>0</v>
      </c>
      <c r="AQ2408" s="94" t="s">
        <v>136</v>
      </c>
      <c r="AV2408" s="93">
        <f>AW2408+AX2408</f>
        <v>0</v>
      </c>
      <c r="AW2408" s="93">
        <f>G2408*AO2408</f>
        <v>0</v>
      </c>
      <c r="AX2408" s="93">
        <f>G2408*AP2408</f>
        <v>0</v>
      </c>
      <c r="AY2408" s="94" t="s">
        <v>3131</v>
      </c>
      <c r="AZ2408" s="94" t="s">
        <v>2927</v>
      </c>
      <c r="BA2408" s="88" t="s">
        <v>67</v>
      </c>
      <c r="BC2408" s="93">
        <f>AW2408+AX2408</f>
        <v>0</v>
      </c>
      <c r="BD2408" s="93">
        <f>H2408/(100-BE2408)*100</f>
        <v>0</v>
      </c>
      <c r="BE2408" s="93">
        <v>0</v>
      </c>
      <c r="BF2408" s="93">
        <f>O2408</f>
        <v>0</v>
      </c>
      <c r="BH2408" s="93">
        <f>G2408*AO2408</f>
        <v>0</v>
      </c>
      <c r="BI2408" s="93">
        <f>G2408*AP2408</f>
        <v>0</v>
      </c>
      <c r="BJ2408" s="93">
        <f>G2408*H2408</f>
        <v>0</v>
      </c>
      <c r="BK2408" s="93"/>
      <c r="BL2408" s="93"/>
      <c r="BW2408" s="93" t="str">
        <f>I2408</f>
        <v>21</v>
      </c>
      <c r="BX2408" s="2" t="s">
        <v>1519</v>
      </c>
    </row>
    <row r="2409" spans="1:76" s="81" customFormat="1" ht="25.5" x14ac:dyDescent="0.25">
      <c r="A2409" s="66" t="s">
        <v>3213</v>
      </c>
      <c r="B2409" s="72" t="s">
        <v>55</v>
      </c>
      <c r="C2409" s="72" t="s">
        <v>3207</v>
      </c>
      <c r="D2409" s="174" t="s">
        <v>3208</v>
      </c>
      <c r="E2409" s="174"/>
      <c r="F2409" s="72" t="s">
        <v>203</v>
      </c>
      <c r="G2409" s="90">
        <v>41</v>
      </c>
      <c r="H2409" s="91"/>
      <c r="I2409" s="92" t="s">
        <v>63</v>
      </c>
      <c r="J2409" s="90">
        <f>G2409*AO2409</f>
        <v>0</v>
      </c>
      <c r="K2409" s="90">
        <f>G2409*AP2409</f>
        <v>0</v>
      </c>
      <c r="L2409" s="90">
        <f>G2409*H2409</f>
        <v>0</v>
      </c>
      <c r="M2409" s="90">
        <f>L2409*(1+BW2409/100)</f>
        <v>0</v>
      </c>
      <c r="N2409" s="90">
        <v>5.0000000000000002E-5</v>
      </c>
      <c r="O2409" s="90">
        <f>G2409*N2409</f>
        <v>2.0500000000000002E-3</v>
      </c>
      <c r="P2409" s="92" t="s">
        <v>64</v>
      </c>
      <c r="Z2409" s="93">
        <f>IF(AQ2409="5",BJ2409,0)</f>
        <v>0</v>
      </c>
      <c r="AB2409" s="93">
        <f>IF(AQ2409="1",BH2409,0)</f>
        <v>0</v>
      </c>
      <c r="AC2409" s="93">
        <f>IF(AQ2409="1",BI2409,0)</f>
        <v>0</v>
      </c>
      <c r="AD2409" s="93">
        <f>IF(AQ2409="7",BH2409,0)</f>
        <v>0</v>
      </c>
      <c r="AE2409" s="93">
        <f>IF(AQ2409="7",BI2409,0)</f>
        <v>0</v>
      </c>
      <c r="AF2409" s="93">
        <f>IF(AQ2409="2",BH2409,0)</f>
        <v>0</v>
      </c>
      <c r="AG2409" s="93">
        <f>IF(AQ2409="2",BI2409,0)</f>
        <v>0</v>
      </c>
      <c r="AH2409" s="93">
        <f>IF(AQ2409="0",BJ2409,0)</f>
        <v>0</v>
      </c>
      <c r="AI2409" s="88" t="s">
        <v>55</v>
      </c>
      <c r="AJ2409" s="93">
        <f>IF(AN2409=0,L2409,0)</f>
        <v>0</v>
      </c>
      <c r="AK2409" s="93">
        <f>IF(AN2409=12,L2409,0)</f>
        <v>0</v>
      </c>
      <c r="AL2409" s="93">
        <f>IF(AN2409=21,L2409,0)</f>
        <v>0</v>
      </c>
      <c r="AN2409" s="93">
        <v>21</v>
      </c>
      <c r="AO2409" s="93">
        <f>H2409*0.74735426</f>
        <v>0</v>
      </c>
      <c r="AP2409" s="93">
        <f>H2409*(1-0.74735426)</f>
        <v>0</v>
      </c>
      <c r="AQ2409" s="94" t="s">
        <v>148</v>
      </c>
      <c r="AV2409" s="93">
        <f>AW2409+AX2409</f>
        <v>0</v>
      </c>
      <c r="AW2409" s="93">
        <f>G2409*AO2409</f>
        <v>0</v>
      </c>
      <c r="AX2409" s="93">
        <f>G2409*AP2409</f>
        <v>0</v>
      </c>
      <c r="AY2409" s="94" t="s">
        <v>3131</v>
      </c>
      <c r="AZ2409" s="94" t="s">
        <v>2927</v>
      </c>
      <c r="BA2409" s="88" t="s">
        <v>67</v>
      </c>
      <c r="BC2409" s="93">
        <f>AW2409+AX2409</f>
        <v>0</v>
      </c>
      <c r="BD2409" s="93">
        <f>H2409/(100-BE2409)*100</f>
        <v>0</v>
      </c>
      <c r="BE2409" s="93">
        <v>0</v>
      </c>
      <c r="BF2409" s="93">
        <f>O2409</f>
        <v>2.0500000000000002E-3</v>
      </c>
      <c r="BH2409" s="93">
        <f>G2409*AO2409</f>
        <v>0</v>
      </c>
      <c r="BI2409" s="93">
        <f>G2409*AP2409</f>
        <v>0</v>
      </c>
      <c r="BJ2409" s="93">
        <f>G2409*H2409</f>
        <v>0</v>
      </c>
      <c r="BK2409" s="93"/>
      <c r="BL2409" s="93"/>
      <c r="BW2409" s="93" t="str">
        <f>I2409</f>
        <v>21</v>
      </c>
      <c r="BX2409" s="2" t="s">
        <v>3208</v>
      </c>
    </row>
    <row r="2410" spans="1:76" s="81" customFormat="1" ht="25.5" x14ac:dyDescent="0.25">
      <c r="A2410" s="66" t="s">
        <v>3217</v>
      </c>
      <c r="B2410" s="72" t="s">
        <v>55</v>
      </c>
      <c r="C2410" s="72" t="s">
        <v>3210</v>
      </c>
      <c r="D2410" s="174" t="s">
        <v>3211</v>
      </c>
      <c r="E2410" s="174"/>
      <c r="F2410" s="72" t="s">
        <v>203</v>
      </c>
      <c r="G2410" s="90">
        <v>45</v>
      </c>
      <c r="H2410" s="91"/>
      <c r="I2410" s="92" t="s">
        <v>63</v>
      </c>
      <c r="J2410" s="90">
        <f>G2410*AO2410</f>
        <v>0</v>
      </c>
      <c r="K2410" s="90">
        <f>G2410*AP2410</f>
        <v>0</v>
      </c>
      <c r="L2410" s="90">
        <f>G2410*H2410</f>
        <v>0</v>
      </c>
      <c r="M2410" s="90">
        <f>L2410*(1+BW2410/100)</f>
        <v>0</v>
      </c>
      <c r="N2410" s="90">
        <v>5.0000000000000002E-5</v>
      </c>
      <c r="O2410" s="90">
        <f>G2410*N2410</f>
        <v>2.2500000000000003E-3</v>
      </c>
      <c r="P2410" s="92" t="s">
        <v>64</v>
      </c>
      <c r="Z2410" s="93">
        <f>IF(AQ2410="5",BJ2410,0)</f>
        <v>0</v>
      </c>
      <c r="AB2410" s="93">
        <f>IF(AQ2410="1",BH2410,0)</f>
        <v>0</v>
      </c>
      <c r="AC2410" s="93">
        <f>IF(AQ2410="1",BI2410,0)</f>
        <v>0</v>
      </c>
      <c r="AD2410" s="93">
        <f>IF(AQ2410="7",BH2410,0)</f>
        <v>0</v>
      </c>
      <c r="AE2410" s="93">
        <f>IF(AQ2410="7",BI2410,0)</f>
        <v>0</v>
      </c>
      <c r="AF2410" s="93">
        <f>IF(AQ2410="2",BH2410,0)</f>
        <v>0</v>
      </c>
      <c r="AG2410" s="93">
        <f>IF(AQ2410="2",BI2410,0)</f>
        <v>0</v>
      </c>
      <c r="AH2410" s="93">
        <f>IF(AQ2410="0",BJ2410,0)</f>
        <v>0</v>
      </c>
      <c r="AI2410" s="88" t="s">
        <v>55</v>
      </c>
      <c r="AJ2410" s="93">
        <f>IF(AN2410=0,L2410,0)</f>
        <v>0</v>
      </c>
      <c r="AK2410" s="93">
        <f>IF(AN2410=12,L2410,0)</f>
        <v>0</v>
      </c>
      <c r="AL2410" s="93">
        <f>IF(AN2410=21,L2410,0)</f>
        <v>0</v>
      </c>
      <c r="AN2410" s="93">
        <v>21</v>
      </c>
      <c r="AO2410" s="93">
        <f>H2410*0.821708861</f>
        <v>0</v>
      </c>
      <c r="AP2410" s="93">
        <f>H2410*(1-0.821708861)</f>
        <v>0</v>
      </c>
      <c r="AQ2410" s="94" t="s">
        <v>148</v>
      </c>
      <c r="AV2410" s="93">
        <f>AW2410+AX2410</f>
        <v>0</v>
      </c>
      <c r="AW2410" s="93">
        <f>G2410*AO2410</f>
        <v>0</v>
      </c>
      <c r="AX2410" s="93">
        <f>G2410*AP2410</f>
        <v>0</v>
      </c>
      <c r="AY2410" s="94" t="s">
        <v>3131</v>
      </c>
      <c r="AZ2410" s="94" t="s">
        <v>2927</v>
      </c>
      <c r="BA2410" s="88" t="s">
        <v>67</v>
      </c>
      <c r="BC2410" s="93">
        <f>AW2410+AX2410</f>
        <v>0</v>
      </c>
      <c r="BD2410" s="93">
        <f>H2410/(100-BE2410)*100</f>
        <v>0</v>
      </c>
      <c r="BE2410" s="93">
        <v>0</v>
      </c>
      <c r="BF2410" s="93">
        <f>O2410</f>
        <v>2.2500000000000003E-3</v>
      </c>
      <c r="BH2410" s="93">
        <f>G2410*AO2410</f>
        <v>0</v>
      </c>
      <c r="BI2410" s="93">
        <f>G2410*AP2410</f>
        <v>0</v>
      </c>
      <c r="BJ2410" s="93">
        <f>G2410*H2410</f>
        <v>0</v>
      </c>
      <c r="BK2410" s="93"/>
      <c r="BL2410" s="93"/>
      <c r="BW2410" s="93" t="str">
        <f>I2410</f>
        <v>21</v>
      </c>
      <c r="BX2410" s="2" t="s">
        <v>3211</v>
      </c>
    </row>
    <row r="2411" spans="1:76" s="81" customFormat="1" ht="25.5" x14ac:dyDescent="0.25">
      <c r="A2411" s="66" t="s">
        <v>3220</v>
      </c>
      <c r="B2411" s="72" t="s">
        <v>55</v>
      </c>
      <c r="C2411" s="72" t="s">
        <v>1640</v>
      </c>
      <c r="D2411" s="174" t="s">
        <v>1641</v>
      </c>
      <c r="E2411" s="174"/>
      <c r="F2411" s="72" t="s">
        <v>1447</v>
      </c>
      <c r="G2411" s="90">
        <v>1239.25</v>
      </c>
      <c r="H2411" s="91"/>
      <c r="I2411" s="92" t="s">
        <v>63</v>
      </c>
      <c r="J2411" s="90">
        <f>G2411*AO2411</f>
        <v>0</v>
      </c>
      <c r="K2411" s="90">
        <f>G2411*AP2411</f>
        <v>0</v>
      </c>
      <c r="L2411" s="90">
        <f>G2411*H2411</f>
        <v>0</v>
      </c>
      <c r="M2411" s="90">
        <f>L2411*(1+BW2411/100)</f>
        <v>0</v>
      </c>
      <c r="N2411" s="90">
        <v>0</v>
      </c>
      <c r="O2411" s="90">
        <f>G2411*N2411</f>
        <v>0</v>
      </c>
      <c r="P2411" s="92" t="s">
        <v>64</v>
      </c>
      <c r="Z2411" s="93">
        <f>IF(AQ2411="5",BJ2411,0)</f>
        <v>0</v>
      </c>
      <c r="AB2411" s="93">
        <f>IF(AQ2411="1",BH2411,0)</f>
        <v>0</v>
      </c>
      <c r="AC2411" s="93">
        <f>IF(AQ2411="1",BI2411,0)</f>
        <v>0</v>
      </c>
      <c r="AD2411" s="93">
        <f>IF(AQ2411="7",BH2411,0)</f>
        <v>0</v>
      </c>
      <c r="AE2411" s="93">
        <f>IF(AQ2411="7",BI2411,0)</f>
        <v>0</v>
      </c>
      <c r="AF2411" s="93">
        <f>IF(AQ2411="2",BH2411,0)</f>
        <v>0</v>
      </c>
      <c r="AG2411" s="93">
        <f>IF(AQ2411="2",BI2411,0)</f>
        <v>0</v>
      </c>
      <c r="AH2411" s="93">
        <f>IF(AQ2411="0",BJ2411,0)</f>
        <v>0</v>
      </c>
      <c r="AI2411" s="88" t="s">
        <v>55</v>
      </c>
      <c r="AJ2411" s="93">
        <f>IF(AN2411=0,L2411,0)</f>
        <v>0</v>
      </c>
      <c r="AK2411" s="93">
        <f>IF(AN2411=12,L2411,0)</f>
        <v>0</v>
      </c>
      <c r="AL2411" s="93">
        <f>IF(AN2411=21,L2411,0)</f>
        <v>0</v>
      </c>
      <c r="AN2411" s="93">
        <v>21</v>
      </c>
      <c r="AO2411" s="93">
        <f>H2411*0</f>
        <v>0</v>
      </c>
      <c r="AP2411" s="93">
        <f>H2411*(1-0)</f>
        <v>0</v>
      </c>
      <c r="AQ2411" s="94" t="s">
        <v>136</v>
      </c>
      <c r="AV2411" s="93">
        <f>AW2411+AX2411</f>
        <v>0</v>
      </c>
      <c r="AW2411" s="93">
        <f>G2411*AO2411</f>
        <v>0</v>
      </c>
      <c r="AX2411" s="93">
        <f>G2411*AP2411</f>
        <v>0</v>
      </c>
      <c r="AY2411" s="94" t="s">
        <v>3131</v>
      </c>
      <c r="AZ2411" s="94" t="s">
        <v>2927</v>
      </c>
      <c r="BA2411" s="88" t="s">
        <v>67</v>
      </c>
      <c r="BC2411" s="93">
        <f>AW2411+AX2411</f>
        <v>0</v>
      </c>
      <c r="BD2411" s="93">
        <f>H2411/(100-BE2411)*100</f>
        <v>0</v>
      </c>
      <c r="BE2411" s="93">
        <v>0</v>
      </c>
      <c r="BF2411" s="93">
        <f>O2411</f>
        <v>0</v>
      </c>
      <c r="BH2411" s="93">
        <f>G2411*AO2411</f>
        <v>0</v>
      </c>
      <c r="BI2411" s="93">
        <f>G2411*AP2411</f>
        <v>0</v>
      </c>
      <c r="BJ2411" s="93">
        <f>G2411*H2411</f>
        <v>0</v>
      </c>
      <c r="BK2411" s="93"/>
      <c r="BL2411" s="93"/>
      <c r="BW2411" s="93" t="str">
        <f>I2411</f>
        <v>21</v>
      </c>
      <c r="BX2411" s="2" t="s">
        <v>1641</v>
      </c>
    </row>
    <row r="2412" spans="1:76" s="81" customFormat="1" ht="25.5" x14ac:dyDescent="0.25">
      <c r="A2412" s="66" t="s">
        <v>3223</v>
      </c>
      <c r="B2412" s="72" t="s">
        <v>55</v>
      </c>
      <c r="C2412" s="72" t="s">
        <v>3214</v>
      </c>
      <c r="D2412" s="174" t="s">
        <v>3215</v>
      </c>
      <c r="E2412" s="174"/>
      <c r="F2412" s="72" t="s">
        <v>213</v>
      </c>
      <c r="G2412" s="90">
        <v>33</v>
      </c>
      <c r="H2412" s="91"/>
      <c r="I2412" s="92" t="s">
        <v>63</v>
      </c>
      <c r="J2412" s="90">
        <f>G2412*AO2412</f>
        <v>0</v>
      </c>
      <c r="K2412" s="90">
        <f>G2412*AP2412</f>
        <v>0</v>
      </c>
      <c r="L2412" s="90">
        <f>G2412*H2412</f>
        <v>0</v>
      </c>
      <c r="M2412" s="90">
        <f>L2412*(1+BW2412/100)</f>
        <v>0</v>
      </c>
      <c r="N2412" s="90">
        <v>9.7999999999999997E-4</v>
      </c>
      <c r="O2412" s="90">
        <f>G2412*N2412</f>
        <v>3.2340000000000001E-2</v>
      </c>
      <c r="P2412" s="92" t="s">
        <v>64</v>
      </c>
      <c r="Z2412" s="93">
        <f>IF(AQ2412="5",BJ2412,0)</f>
        <v>0</v>
      </c>
      <c r="AB2412" s="93">
        <f>IF(AQ2412="1",BH2412,0)</f>
        <v>0</v>
      </c>
      <c r="AC2412" s="93">
        <f>IF(AQ2412="1",BI2412,0)</f>
        <v>0</v>
      </c>
      <c r="AD2412" s="93">
        <f>IF(AQ2412="7",BH2412,0)</f>
        <v>0</v>
      </c>
      <c r="AE2412" s="93">
        <f>IF(AQ2412="7",BI2412,0)</f>
        <v>0</v>
      </c>
      <c r="AF2412" s="93">
        <f>IF(AQ2412="2",BH2412,0)</f>
        <v>0</v>
      </c>
      <c r="AG2412" s="93">
        <f>IF(AQ2412="2",BI2412,0)</f>
        <v>0</v>
      </c>
      <c r="AH2412" s="93">
        <f>IF(AQ2412="0",BJ2412,0)</f>
        <v>0</v>
      </c>
      <c r="AI2412" s="88" t="s">
        <v>55</v>
      </c>
      <c r="AJ2412" s="93">
        <f>IF(AN2412=0,L2412,0)</f>
        <v>0</v>
      </c>
      <c r="AK2412" s="93">
        <f>IF(AN2412=12,L2412,0)</f>
        <v>0</v>
      </c>
      <c r="AL2412" s="93">
        <f>IF(AN2412=21,L2412,0)</f>
        <v>0</v>
      </c>
      <c r="AN2412" s="93">
        <v>21</v>
      </c>
      <c r="AO2412" s="93">
        <f>H2412*0.554010508</f>
        <v>0</v>
      </c>
      <c r="AP2412" s="93">
        <f>H2412*(1-0.554010508)</f>
        <v>0</v>
      </c>
      <c r="AQ2412" s="94" t="s">
        <v>148</v>
      </c>
      <c r="AV2412" s="93">
        <f>AW2412+AX2412</f>
        <v>0</v>
      </c>
      <c r="AW2412" s="93">
        <f>G2412*AO2412</f>
        <v>0</v>
      </c>
      <c r="AX2412" s="93">
        <f>G2412*AP2412</f>
        <v>0</v>
      </c>
      <c r="AY2412" s="94" t="s">
        <v>3131</v>
      </c>
      <c r="AZ2412" s="94" t="s">
        <v>2927</v>
      </c>
      <c r="BA2412" s="88" t="s">
        <v>67</v>
      </c>
      <c r="BC2412" s="93">
        <f>AW2412+AX2412</f>
        <v>0</v>
      </c>
      <c r="BD2412" s="93">
        <f>H2412/(100-BE2412)*100</f>
        <v>0</v>
      </c>
      <c r="BE2412" s="93">
        <v>0</v>
      </c>
      <c r="BF2412" s="93">
        <f>O2412</f>
        <v>3.2340000000000001E-2</v>
      </c>
      <c r="BH2412" s="93">
        <f>G2412*AO2412</f>
        <v>0</v>
      </c>
      <c r="BI2412" s="93">
        <f>G2412*AP2412</f>
        <v>0</v>
      </c>
      <c r="BJ2412" s="93">
        <f>G2412*H2412</f>
        <v>0</v>
      </c>
      <c r="BK2412" s="93"/>
      <c r="BL2412" s="93"/>
      <c r="BW2412" s="93" t="str">
        <f>I2412</f>
        <v>21</v>
      </c>
      <c r="BX2412" s="2" t="s">
        <v>3215</v>
      </c>
    </row>
    <row r="2413" spans="1:76" s="81" customFormat="1" ht="13.5" customHeight="1" x14ac:dyDescent="0.25">
      <c r="A2413" s="110"/>
      <c r="B2413" s="95"/>
      <c r="C2413" s="95"/>
      <c r="D2413" s="179" t="s">
        <v>3216</v>
      </c>
      <c r="E2413" s="179"/>
      <c r="F2413" s="179"/>
      <c r="G2413" s="179"/>
      <c r="H2413" s="179"/>
      <c r="I2413" s="179"/>
      <c r="J2413" s="179"/>
      <c r="K2413" s="179"/>
      <c r="L2413" s="179"/>
      <c r="M2413" s="179"/>
      <c r="N2413" s="179"/>
      <c r="O2413" s="179"/>
      <c r="P2413" s="179"/>
    </row>
    <row r="2414" spans="1:76" s="81" customFormat="1" ht="25.5" x14ac:dyDescent="0.25">
      <c r="A2414" s="66" t="s">
        <v>3226</v>
      </c>
      <c r="B2414" s="72" t="s">
        <v>55</v>
      </c>
      <c r="C2414" s="72" t="s">
        <v>3218</v>
      </c>
      <c r="D2414" s="174" t="s">
        <v>3219</v>
      </c>
      <c r="E2414" s="174"/>
      <c r="F2414" s="72" t="s">
        <v>203</v>
      </c>
      <c r="G2414" s="90">
        <v>10</v>
      </c>
      <c r="H2414" s="91"/>
      <c r="I2414" s="92" t="s">
        <v>63</v>
      </c>
      <c r="J2414" s="90">
        <f>G2414*AO2414</f>
        <v>0</v>
      </c>
      <c r="K2414" s="90">
        <f>G2414*AP2414</f>
        <v>0</v>
      </c>
      <c r="L2414" s="90">
        <f>G2414*H2414</f>
        <v>0</v>
      </c>
      <c r="M2414" s="90">
        <f>L2414*(1+BW2414/100)</f>
        <v>0</v>
      </c>
      <c r="N2414" s="90">
        <v>2.1000000000000001E-4</v>
      </c>
      <c r="O2414" s="90">
        <f>G2414*N2414</f>
        <v>2.1000000000000003E-3</v>
      </c>
      <c r="P2414" s="92" t="s">
        <v>64</v>
      </c>
      <c r="Z2414" s="93">
        <f>IF(AQ2414="5",BJ2414,0)</f>
        <v>0</v>
      </c>
      <c r="AB2414" s="93">
        <f>IF(AQ2414="1",BH2414,0)</f>
        <v>0</v>
      </c>
      <c r="AC2414" s="93">
        <f>IF(AQ2414="1",BI2414,0)</f>
        <v>0</v>
      </c>
      <c r="AD2414" s="93">
        <f>IF(AQ2414="7",BH2414,0)</f>
        <v>0</v>
      </c>
      <c r="AE2414" s="93">
        <f>IF(AQ2414="7",BI2414,0)</f>
        <v>0</v>
      </c>
      <c r="AF2414" s="93">
        <f>IF(AQ2414="2",BH2414,0)</f>
        <v>0</v>
      </c>
      <c r="AG2414" s="93">
        <f>IF(AQ2414="2",BI2414,0)</f>
        <v>0</v>
      </c>
      <c r="AH2414" s="93">
        <f>IF(AQ2414="0",BJ2414,0)</f>
        <v>0</v>
      </c>
      <c r="AI2414" s="88" t="s">
        <v>55</v>
      </c>
      <c r="AJ2414" s="93">
        <f>IF(AN2414=0,L2414,0)</f>
        <v>0</v>
      </c>
      <c r="AK2414" s="93">
        <f>IF(AN2414=12,L2414,0)</f>
        <v>0</v>
      </c>
      <c r="AL2414" s="93">
        <f>IF(AN2414=21,L2414,0)</f>
        <v>0</v>
      </c>
      <c r="AN2414" s="93">
        <v>21</v>
      </c>
      <c r="AO2414" s="93">
        <f>H2414*0.827177914</f>
        <v>0</v>
      </c>
      <c r="AP2414" s="93">
        <f>H2414*(1-0.827177914)</f>
        <v>0</v>
      </c>
      <c r="AQ2414" s="94" t="s">
        <v>148</v>
      </c>
      <c r="AV2414" s="93">
        <f>AW2414+AX2414</f>
        <v>0</v>
      </c>
      <c r="AW2414" s="93">
        <f>G2414*AO2414</f>
        <v>0</v>
      </c>
      <c r="AX2414" s="93">
        <f>G2414*AP2414</f>
        <v>0</v>
      </c>
      <c r="AY2414" s="94" t="s">
        <v>3131</v>
      </c>
      <c r="AZ2414" s="94" t="s">
        <v>2927</v>
      </c>
      <c r="BA2414" s="88" t="s">
        <v>67</v>
      </c>
      <c r="BC2414" s="93">
        <f>AW2414+AX2414</f>
        <v>0</v>
      </c>
      <c r="BD2414" s="93">
        <f>H2414/(100-BE2414)*100</f>
        <v>0</v>
      </c>
      <c r="BE2414" s="93">
        <v>0</v>
      </c>
      <c r="BF2414" s="93">
        <f>O2414</f>
        <v>2.1000000000000003E-3</v>
      </c>
      <c r="BH2414" s="93">
        <f>G2414*AO2414</f>
        <v>0</v>
      </c>
      <c r="BI2414" s="93">
        <f>G2414*AP2414</f>
        <v>0</v>
      </c>
      <c r="BJ2414" s="93">
        <f>G2414*H2414</f>
        <v>0</v>
      </c>
      <c r="BK2414" s="93"/>
      <c r="BL2414" s="93"/>
      <c r="BW2414" s="93" t="str">
        <f>I2414</f>
        <v>21</v>
      </c>
      <c r="BX2414" s="2" t="s">
        <v>3219</v>
      </c>
    </row>
    <row r="2415" spans="1:76" s="81" customFormat="1" ht="25.5" x14ac:dyDescent="0.25">
      <c r="A2415" s="66" t="s">
        <v>3229</v>
      </c>
      <c r="B2415" s="72" t="s">
        <v>55</v>
      </c>
      <c r="C2415" s="72" t="s">
        <v>3221</v>
      </c>
      <c r="D2415" s="174" t="s">
        <v>3222</v>
      </c>
      <c r="E2415" s="174"/>
      <c r="F2415" s="72" t="s">
        <v>203</v>
      </c>
      <c r="G2415" s="90">
        <v>6</v>
      </c>
      <c r="H2415" s="91"/>
      <c r="I2415" s="92" t="s">
        <v>63</v>
      </c>
      <c r="J2415" s="90">
        <f>G2415*AO2415</f>
        <v>0</v>
      </c>
      <c r="K2415" s="90">
        <f>G2415*AP2415</f>
        <v>0</v>
      </c>
      <c r="L2415" s="90">
        <f>G2415*H2415</f>
        <v>0</v>
      </c>
      <c r="M2415" s="90">
        <f>L2415*(1+BW2415/100)</f>
        <v>0</v>
      </c>
      <c r="N2415" s="90">
        <v>9.0000000000000006E-5</v>
      </c>
      <c r="O2415" s="90">
        <f>G2415*N2415</f>
        <v>5.4000000000000001E-4</v>
      </c>
      <c r="P2415" s="92" t="s">
        <v>64</v>
      </c>
      <c r="Z2415" s="93">
        <f>IF(AQ2415="5",BJ2415,0)</f>
        <v>0</v>
      </c>
      <c r="AB2415" s="93">
        <f>IF(AQ2415="1",BH2415,0)</f>
        <v>0</v>
      </c>
      <c r="AC2415" s="93">
        <f>IF(AQ2415="1",BI2415,0)</f>
        <v>0</v>
      </c>
      <c r="AD2415" s="93">
        <f>IF(AQ2415="7",BH2415,0)</f>
        <v>0</v>
      </c>
      <c r="AE2415" s="93">
        <f>IF(AQ2415="7",BI2415,0)</f>
        <v>0</v>
      </c>
      <c r="AF2415" s="93">
        <f>IF(AQ2415="2",BH2415,0)</f>
        <v>0</v>
      </c>
      <c r="AG2415" s="93">
        <f>IF(AQ2415="2",BI2415,0)</f>
        <v>0</v>
      </c>
      <c r="AH2415" s="93">
        <f>IF(AQ2415="0",BJ2415,0)</f>
        <v>0</v>
      </c>
      <c r="AI2415" s="88" t="s">
        <v>55</v>
      </c>
      <c r="AJ2415" s="93">
        <f>IF(AN2415=0,L2415,0)</f>
        <v>0</v>
      </c>
      <c r="AK2415" s="93">
        <f>IF(AN2415=12,L2415,0)</f>
        <v>0</v>
      </c>
      <c r="AL2415" s="93">
        <f>IF(AN2415=21,L2415,0)</f>
        <v>0</v>
      </c>
      <c r="AN2415" s="93">
        <v>21</v>
      </c>
      <c r="AO2415" s="93">
        <f>H2415*0.621370968</f>
        <v>0</v>
      </c>
      <c r="AP2415" s="93">
        <f>H2415*(1-0.621370968)</f>
        <v>0</v>
      </c>
      <c r="AQ2415" s="94" t="s">
        <v>148</v>
      </c>
      <c r="AV2415" s="93">
        <f>AW2415+AX2415</f>
        <v>0</v>
      </c>
      <c r="AW2415" s="93">
        <f>G2415*AO2415</f>
        <v>0</v>
      </c>
      <c r="AX2415" s="93">
        <f>G2415*AP2415</f>
        <v>0</v>
      </c>
      <c r="AY2415" s="94" t="s">
        <v>3131</v>
      </c>
      <c r="AZ2415" s="94" t="s">
        <v>2927</v>
      </c>
      <c r="BA2415" s="88" t="s">
        <v>67</v>
      </c>
      <c r="BC2415" s="93">
        <f>AW2415+AX2415</f>
        <v>0</v>
      </c>
      <c r="BD2415" s="93">
        <f>H2415/(100-BE2415)*100</f>
        <v>0</v>
      </c>
      <c r="BE2415" s="93">
        <v>0</v>
      </c>
      <c r="BF2415" s="93">
        <f>O2415</f>
        <v>5.4000000000000001E-4</v>
      </c>
      <c r="BH2415" s="93">
        <f>G2415*AO2415</f>
        <v>0</v>
      </c>
      <c r="BI2415" s="93">
        <f>G2415*AP2415</f>
        <v>0</v>
      </c>
      <c r="BJ2415" s="93">
        <f>G2415*H2415</f>
        <v>0</v>
      </c>
      <c r="BK2415" s="93"/>
      <c r="BL2415" s="93"/>
      <c r="BW2415" s="93" t="str">
        <f>I2415</f>
        <v>21</v>
      </c>
      <c r="BX2415" s="2" t="s">
        <v>3222</v>
      </c>
    </row>
    <row r="2416" spans="1:76" s="81" customFormat="1" ht="25.5" x14ac:dyDescent="0.25">
      <c r="A2416" s="66" t="s">
        <v>3233</v>
      </c>
      <c r="B2416" s="72" t="s">
        <v>55</v>
      </c>
      <c r="C2416" s="72" t="s">
        <v>3224</v>
      </c>
      <c r="D2416" s="174" t="s">
        <v>3225</v>
      </c>
      <c r="E2416" s="174"/>
      <c r="F2416" s="72" t="s">
        <v>203</v>
      </c>
      <c r="G2416" s="90">
        <v>20</v>
      </c>
      <c r="H2416" s="91"/>
      <c r="I2416" s="92" t="s">
        <v>63</v>
      </c>
      <c r="J2416" s="90">
        <f>G2416*AO2416</f>
        <v>0</v>
      </c>
      <c r="K2416" s="90">
        <f>G2416*AP2416</f>
        <v>0</v>
      </c>
      <c r="L2416" s="90">
        <f>G2416*H2416</f>
        <v>0</v>
      </c>
      <c r="M2416" s="90">
        <f>L2416*(1+BW2416/100)</f>
        <v>0</v>
      </c>
      <c r="N2416" s="90">
        <v>5.5000000000000003E-4</v>
      </c>
      <c r="O2416" s="90">
        <f>G2416*N2416</f>
        <v>1.1000000000000001E-2</v>
      </c>
      <c r="P2416" s="92" t="s">
        <v>64</v>
      </c>
      <c r="Z2416" s="93">
        <f>IF(AQ2416="5",BJ2416,0)</f>
        <v>0</v>
      </c>
      <c r="AB2416" s="93">
        <f>IF(AQ2416="1",BH2416,0)</f>
        <v>0</v>
      </c>
      <c r="AC2416" s="93">
        <f>IF(AQ2416="1",BI2416,0)</f>
        <v>0</v>
      </c>
      <c r="AD2416" s="93">
        <f>IF(AQ2416="7",BH2416,0)</f>
        <v>0</v>
      </c>
      <c r="AE2416" s="93">
        <f>IF(AQ2416="7",BI2416,0)</f>
        <v>0</v>
      </c>
      <c r="AF2416" s="93">
        <f>IF(AQ2416="2",BH2416,0)</f>
        <v>0</v>
      </c>
      <c r="AG2416" s="93">
        <f>IF(AQ2416="2",BI2416,0)</f>
        <v>0</v>
      </c>
      <c r="AH2416" s="93">
        <f>IF(AQ2416="0",BJ2416,0)</f>
        <v>0</v>
      </c>
      <c r="AI2416" s="88" t="s">
        <v>55</v>
      </c>
      <c r="AJ2416" s="93">
        <f>IF(AN2416=0,L2416,0)</f>
        <v>0</v>
      </c>
      <c r="AK2416" s="93">
        <f>IF(AN2416=12,L2416,0)</f>
        <v>0</v>
      </c>
      <c r="AL2416" s="93">
        <f>IF(AN2416=21,L2416,0)</f>
        <v>0</v>
      </c>
      <c r="AN2416" s="93">
        <v>21</v>
      </c>
      <c r="AO2416" s="93">
        <f>H2416*0.828831814</f>
        <v>0</v>
      </c>
      <c r="AP2416" s="93">
        <f>H2416*(1-0.828831814)</f>
        <v>0</v>
      </c>
      <c r="AQ2416" s="94" t="s">
        <v>148</v>
      </c>
      <c r="AV2416" s="93">
        <f>AW2416+AX2416</f>
        <v>0</v>
      </c>
      <c r="AW2416" s="93">
        <f>G2416*AO2416</f>
        <v>0</v>
      </c>
      <c r="AX2416" s="93">
        <f>G2416*AP2416</f>
        <v>0</v>
      </c>
      <c r="AY2416" s="94" t="s">
        <v>3131</v>
      </c>
      <c r="AZ2416" s="94" t="s">
        <v>2927</v>
      </c>
      <c r="BA2416" s="88" t="s">
        <v>67</v>
      </c>
      <c r="BC2416" s="93">
        <f>AW2416+AX2416</f>
        <v>0</v>
      </c>
      <c r="BD2416" s="93">
        <f>H2416/(100-BE2416)*100</f>
        <v>0</v>
      </c>
      <c r="BE2416" s="93">
        <v>0</v>
      </c>
      <c r="BF2416" s="93">
        <f>O2416</f>
        <v>1.1000000000000001E-2</v>
      </c>
      <c r="BH2416" s="93">
        <f>G2416*AO2416</f>
        <v>0</v>
      </c>
      <c r="BI2416" s="93">
        <f>G2416*AP2416</f>
        <v>0</v>
      </c>
      <c r="BJ2416" s="93">
        <f>G2416*H2416</f>
        <v>0</v>
      </c>
      <c r="BK2416" s="93"/>
      <c r="BL2416" s="93"/>
      <c r="BW2416" s="93" t="str">
        <f>I2416</f>
        <v>21</v>
      </c>
      <c r="BX2416" s="2" t="s">
        <v>3225</v>
      </c>
    </row>
    <row r="2417" spans="1:76" s="81" customFormat="1" ht="25.5" x14ac:dyDescent="0.25">
      <c r="A2417" s="66" t="s">
        <v>3237</v>
      </c>
      <c r="B2417" s="72" t="s">
        <v>55</v>
      </c>
      <c r="C2417" s="72" t="s">
        <v>3227</v>
      </c>
      <c r="D2417" s="174" t="s">
        <v>3228</v>
      </c>
      <c r="E2417" s="174"/>
      <c r="F2417" s="72" t="s">
        <v>203</v>
      </c>
      <c r="G2417" s="90">
        <v>1</v>
      </c>
      <c r="H2417" s="91"/>
      <c r="I2417" s="92" t="s">
        <v>63</v>
      </c>
      <c r="J2417" s="90">
        <f>G2417*AO2417</f>
        <v>0</v>
      </c>
      <c r="K2417" s="90">
        <f>G2417*AP2417</f>
        <v>0</v>
      </c>
      <c r="L2417" s="90">
        <f>G2417*H2417</f>
        <v>0</v>
      </c>
      <c r="M2417" s="90">
        <f>L2417*(1+BW2417/100)</f>
        <v>0</v>
      </c>
      <c r="N2417" s="90">
        <v>5.0000000000000001E-4</v>
      </c>
      <c r="O2417" s="90">
        <f>G2417*N2417</f>
        <v>5.0000000000000001E-4</v>
      </c>
      <c r="P2417" s="92" t="s">
        <v>64</v>
      </c>
      <c r="Z2417" s="93">
        <f>IF(AQ2417="5",BJ2417,0)</f>
        <v>0</v>
      </c>
      <c r="AB2417" s="93">
        <f>IF(AQ2417="1",BH2417,0)</f>
        <v>0</v>
      </c>
      <c r="AC2417" s="93">
        <f>IF(AQ2417="1",BI2417,0)</f>
        <v>0</v>
      </c>
      <c r="AD2417" s="93">
        <f>IF(AQ2417="7",BH2417,0)</f>
        <v>0</v>
      </c>
      <c r="AE2417" s="93">
        <f>IF(AQ2417="7",BI2417,0)</f>
        <v>0</v>
      </c>
      <c r="AF2417" s="93">
        <f>IF(AQ2417="2",BH2417,0)</f>
        <v>0</v>
      </c>
      <c r="AG2417" s="93">
        <f>IF(AQ2417="2",BI2417,0)</f>
        <v>0</v>
      </c>
      <c r="AH2417" s="93">
        <f>IF(AQ2417="0",BJ2417,0)</f>
        <v>0</v>
      </c>
      <c r="AI2417" s="88" t="s">
        <v>55</v>
      </c>
      <c r="AJ2417" s="93">
        <f>IF(AN2417=0,L2417,0)</f>
        <v>0</v>
      </c>
      <c r="AK2417" s="93">
        <f>IF(AN2417=12,L2417,0)</f>
        <v>0</v>
      </c>
      <c r="AL2417" s="93">
        <f>IF(AN2417=21,L2417,0)</f>
        <v>0</v>
      </c>
      <c r="AN2417" s="93">
        <v>21</v>
      </c>
      <c r="AO2417" s="93">
        <f>H2417*0.885761001</f>
        <v>0</v>
      </c>
      <c r="AP2417" s="93">
        <f>H2417*(1-0.885761001)</f>
        <v>0</v>
      </c>
      <c r="AQ2417" s="94" t="s">
        <v>148</v>
      </c>
      <c r="AV2417" s="93">
        <f>AW2417+AX2417</f>
        <v>0</v>
      </c>
      <c r="AW2417" s="93">
        <f>G2417*AO2417</f>
        <v>0</v>
      </c>
      <c r="AX2417" s="93">
        <f>G2417*AP2417</f>
        <v>0</v>
      </c>
      <c r="AY2417" s="94" t="s">
        <v>3131</v>
      </c>
      <c r="AZ2417" s="94" t="s">
        <v>2927</v>
      </c>
      <c r="BA2417" s="88" t="s">
        <v>67</v>
      </c>
      <c r="BC2417" s="93">
        <f>AW2417+AX2417</f>
        <v>0</v>
      </c>
      <c r="BD2417" s="93">
        <f>H2417/(100-BE2417)*100</f>
        <v>0</v>
      </c>
      <c r="BE2417" s="93">
        <v>0</v>
      </c>
      <c r="BF2417" s="93">
        <f>O2417</f>
        <v>5.0000000000000001E-4</v>
      </c>
      <c r="BH2417" s="93">
        <f>G2417*AO2417</f>
        <v>0</v>
      </c>
      <c r="BI2417" s="93">
        <f>G2417*AP2417</f>
        <v>0</v>
      </c>
      <c r="BJ2417" s="93">
        <f>G2417*H2417</f>
        <v>0</v>
      </c>
      <c r="BK2417" s="93"/>
      <c r="BL2417" s="93"/>
      <c r="BW2417" s="93" t="str">
        <f>I2417</f>
        <v>21</v>
      </c>
      <c r="BX2417" s="2" t="s">
        <v>3228</v>
      </c>
    </row>
    <row r="2418" spans="1:76" s="81" customFormat="1" ht="25.5" x14ac:dyDescent="0.25">
      <c r="A2418" s="66" t="s">
        <v>3240</v>
      </c>
      <c r="B2418" s="72" t="s">
        <v>55</v>
      </c>
      <c r="C2418" s="72" t="s">
        <v>3230</v>
      </c>
      <c r="D2418" s="174" t="s">
        <v>3231</v>
      </c>
      <c r="E2418" s="174"/>
      <c r="F2418" s="72" t="s">
        <v>213</v>
      </c>
      <c r="G2418" s="90">
        <v>82.5</v>
      </c>
      <c r="H2418" s="91"/>
      <c r="I2418" s="92" t="s">
        <v>63</v>
      </c>
      <c r="J2418" s="90">
        <f>G2418*AO2418</f>
        <v>0</v>
      </c>
      <c r="K2418" s="90">
        <f>G2418*AP2418</f>
        <v>0</v>
      </c>
      <c r="L2418" s="90">
        <f>G2418*H2418</f>
        <v>0</v>
      </c>
      <c r="M2418" s="90">
        <f>L2418*(1+BW2418/100)</f>
        <v>0</v>
      </c>
      <c r="N2418" s="90">
        <v>7.7999999999999999E-4</v>
      </c>
      <c r="O2418" s="90">
        <f>G2418*N2418</f>
        <v>6.4350000000000004E-2</v>
      </c>
      <c r="P2418" s="92" t="s">
        <v>64</v>
      </c>
      <c r="Z2418" s="93">
        <f>IF(AQ2418="5",BJ2418,0)</f>
        <v>0</v>
      </c>
      <c r="AB2418" s="93">
        <f>IF(AQ2418="1",BH2418,0)</f>
        <v>0</v>
      </c>
      <c r="AC2418" s="93">
        <f>IF(AQ2418="1",BI2418,0)</f>
        <v>0</v>
      </c>
      <c r="AD2418" s="93">
        <f>IF(AQ2418="7",BH2418,0)</f>
        <v>0</v>
      </c>
      <c r="AE2418" s="93">
        <f>IF(AQ2418="7",BI2418,0)</f>
        <v>0</v>
      </c>
      <c r="AF2418" s="93">
        <f>IF(AQ2418="2",BH2418,0)</f>
        <v>0</v>
      </c>
      <c r="AG2418" s="93">
        <f>IF(AQ2418="2",BI2418,0)</f>
        <v>0</v>
      </c>
      <c r="AH2418" s="93">
        <f>IF(AQ2418="0",BJ2418,0)</f>
        <v>0</v>
      </c>
      <c r="AI2418" s="88" t="s">
        <v>55</v>
      </c>
      <c r="AJ2418" s="93">
        <f>IF(AN2418=0,L2418,0)</f>
        <v>0</v>
      </c>
      <c r="AK2418" s="93">
        <f>IF(AN2418=12,L2418,0)</f>
        <v>0</v>
      </c>
      <c r="AL2418" s="93">
        <f>IF(AN2418=21,L2418,0)</f>
        <v>0</v>
      </c>
      <c r="AN2418" s="93">
        <v>21</v>
      </c>
      <c r="AO2418" s="93">
        <f>H2418*0.388034529</f>
        <v>0</v>
      </c>
      <c r="AP2418" s="93">
        <f>H2418*(1-0.388034529)</f>
        <v>0</v>
      </c>
      <c r="AQ2418" s="94" t="s">
        <v>148</v>
      </c>
      <c r="AV2418" s="93">
        <f>AW2418+AX2418</f>
        <v>0</v>
      </c>
      <c r="AW2418" s="93">
        <f>G2418*AO2418</f>
        <v>0</v>
      </c>
      <c r="AX2418" s="93">
        <f>G2418*AP2418</f>
        <v>0</v>
      </c>
      <c r="AY2418" s="94" t="s">
        <v>3131</v>
      </c>
      <c r="AZ2418" s="94" t="s">
        <v>2927</v>
      </c>
      <c r="BA2418" s="88" t="s">
        <v>67</v>
      </c>
      <c r="BC2418" s="93">
        <f>AW2418+AX2418</f>
        <v>0</v>
      </c>
      <c r="BD2418" s="93">
        <f>H2418/(100-BE2418)*100</f>
        <v>0</v>
      </c>
      <c r="BE2418" s="93">
        <v>0</v>
      </c>
      <c r="BF2418" s="93">
        <f>O2418</f>
        <v>6.4350000000000004E-2</v>
      </c>
      <c r="BH2418" s="93">
        <f>G2418*AO2418</f>
        <v>0</v>
      </c>
      <c r="BI2418" s="93">
        <f>G2418*AP2418</f>
        <v>0</v>
      </c>
      <c r="BJ2418" s="93">
        <f>G2418*H2418</f>
        <v>0</v>
      </c>
      <c r="BK2418" s="93"/>
      <c r="BL2418" s="93"/>
      <c r="BW2418" s="93" t="str">
        <f>I2418</f>
        <v>21</v>
      </c>
      <c r="BX2418" s="2" t="s">
        <v>3231</v>
      </c>
    </row>
    <row r="2419" spans="1:76" s="81" customFormat="1" ht="13.5" customHeight="1" x14ac:dyDescent="0.25">
      <c r="A2419" s="110"/>
      <c r="B2419" s="95"/>
      <c r="C2419" s="95"/>
      <c r="D2419" s="179" t="s">
        <v>3232</v>
      </c>
      <c r="E2419" s="179"/>
      <c r="F2419" s="179"/>
      <c r="G2419" s="179"/>
      <c r="H2419" s="179"/>
      <c r="I2419" s="179"/>
      <c r="J2419" s="179"/>
      <c r="K2419" s="179"/>
      <c r="L2419" s="179"/>
      <c r="M2419" s="179"/>
      <c r="N2419" s="179"/>
      <c r="O2419" s="179"/>
      <c r="P2419" s="179"/>
    </row>
    <row r="2420" spans="1:76" s="81" customFormat="1" ht="25.5" x14ac:dyDescent="0.25">
      <c r="A2420" s="66" t="s">
        <v>3243</v>
      </c>
      <c r="B2420" s="72" t="s">
        <v>55</v>
      </c>
      <c r="C2420" s="72" t="s">
        <v>3234</v>
      </c>
      <c r="D2420" s="174" t="s">
        <v>3235</v>
      </c>
      <c r="E2420" s="174"/>
      <c r="F2420" s="72" t="s">
        <v>213</v>
      </c>
      <c r="G2420" s="90">
        <v>60</v>
      </c>
      <c r="H2420" s="91"/>
      <c r="I2420" s="92" t="s">
        <v>63</v>
      </c>
      <c r="J2420" s="90">
        <f>G2420*AO2420</f>
        <v>0</v>
      </c>
      <c r="K2420" s="90">
        <f>G2420*AP2420</f>
        <v>0</v>
      </c>
      <c r="L2420" s="90">
        <f>G2420*H2420</f>
        <v>0</v>
      </c>
      <c r="M2420" s="90">
        <f>L2420*(1+BW2420/100)</f>
        <v>0</v>
      </c>
      <c r="N2420" s="90">
        <v>4.6999999999999999E-4</v>
      </c>
      <c r="O2420" s="90">
        <f>G2420*N2420</f>
        <v>2.8199999999999999E-2</v>
      </c>
      <c r="P2420" s="92" t="s">
        <v>64</v>
      </c>
      <c r="Z2420" s="93">
        <f>IF(AQ2420="5",BJ2420,0)</f>
        <v>0</v>
      </c>
      <c r="AB2420" s="93">
        <f>IF(AQ2420="1",BH2420,0)</f>
        <v>0</v>
      </c>
      <c r="AC2420" s="93">
        <f>IF(AQ2420="1",BI2420,0)</f>
        <v>0</v>
      </c>
      <c r="AD2420" s="93">
        <f>IF(AQ2420="7",BH2420,0)</f>
        <v>0</v>
      </c>
      <c r="AE2420" s="93">
        <f>IF(AQ2420="7",BI2420,0)</f>
        <v>0</v>
      </c>
      <c r="AF2420" s="93">
        <f>IF(AQ2420="2",BH2420,0)</f>
        <v>0</v>
      </c>
      <c r="AG2420" s="93">
        <f>IF(AQ2420="2",BI2420,0)</f>
        <v>0</v>
      </c>
      <c r="AH2420" s="93">
        <f>IF(AQ2420="0",BJ2420,0)</f>
        <v>0</v>
      </c>
      <c r="AI2420" s="88" t="s">
        <v>55</v>
      </c>
      <c r="AJ2420" s="93">
        <f>IF(AN2420=0,L2420,0)</f>
        <v>0</v>
      </c>
      <c r="AK2420" s="93">
        <f>IF(AN2420=12,L2420,0)</f>
        <v>0</v>
      </c>
      <c r="AL2420" s="93">
        <f>IF(AN2420=21,L2420,0)</f>
        <v>0</v>
      </c>
      <c r="AN2420" s="93">
        <v>21</v>
      </c>
      <c r="AO2420" s="93">
        <f>H2420*0.386179479</f>
        <v>0</v>
      </c>
      <c r="AP2420" s="93">
        <f>H2420*(1-0.386179479)</f>
        <v>0</v>
      </c>
      <c r="AQ2420" s="94" t="s">
        <v>148</v>
      </c>
      <c r="AV2420" s="93">
        <f>AW2420+AX2420</f>
        <v>0</v>
      </c>
      <c r="AW2420" s="93">
        <f>G2420*AO2420</f>
        <v>0</v>
      </c>
      <c r="AX2420" s="93">
        <f>G2420*AP2420</f>
        <v>0</v>
      </c>
      <c r="AY2420" s="94" t="s">
        <v>3131</v>
      </c>
      <c r="AZ2420" s="94" t="s">
        <v>2927</v>
      </c>
      <c r="BA2420" s="88" t="s">
        <v>67</v>
      </c>
      <c r="BC2420" s="93">
        <f>AW2420+AX2420</f>
        <v>0</v>
      </c>
      <c r="BD2420" s="93">
        <f>H2420/(100-BE2420)*100</f>
        <v>0</v>
      </c>
      <c r="BE2420" s="93">
        <v>0</v>
      </c>
      <c r="BF2420" s="93">
        <f>O2420</f>
        <v>2.8199999999999999E-2</v>
      </c>
      <c r="BH2420" s="93">
        <f>G2420*AO2420</f>
        <v>0</v>
      </c>
      <c r="BI2420" s="93">
        <f>G2420*AP2420</f>
        <v>0</v>
      </c>
      <c r="BJ2420" s="93">
        <f>G2420*H2420</f>
        <v>0</v>
      </c>
      <c r="BK2420" s="93"/>
      <c r="BL2420" s="93"/>
      <c r="BW2420" s="93" t="str">
        <f>I2420</f>
        <v>21</v>
      </c>
      <c r="BX2420" s="2" t="s">
        <v>3235</v>
      </c>
    </row>
    <row r="2421" spans="1:76" s="81" customFormat="1" ht="13.5" customHeight="1" x14ac:dyDescent="0.25">
      <c r="A2421" s="110"/>
      <c r="B2421" s="95"/>
      <c r="C2421" s="95"/>
      <c r="D2421" s="179" t="s">
        <v>3236</v>
      </c>
      <c r="E2421" s="179"/>
      <c r="F2421" s="179"/>
      <c r="G2421" s="179"/>
      <c r="H2421" s="179"/>
      <c r="I2421" s="179"/>
      <c r="J2421" s="179"/>
      <c r="K2421" s="179"/>
      <c r="L2421" s="179"/>
      <c r="M2421" s="179"/>
      <c r="N2421" s="179"/>
      <c r="O2421" s="179"/>
      <c r="P2421" s="179"/>
    </row>
    <row r="2422" spans="1:76" s="81" customFormat="1" ht="25.5" x14ac:dyDescent="0.25">
      <c r="A2422" s="66" t="s">
        <v>3247</v>
      </c>
      <c r="B2422" s="72" t="s">
        <v>55</v>
      </c>
      <c r="C2422" s="72" t="s">
        <v>3238</v>
      </c>
      <c r="D2422" s="174" t="s">
        <v>3239</v>
      </c>
      <c r="E2422" s="174"/>
      <c r="F2422" s="72" t="s">
        <v>213</v>
      </c>
      <c r="G2422" s="90">
        <v>3</v>
      </c>
      <c r="H2422" s="91"/>
      <c r="I2422" s="92" t="s">
        <v>63</v>
      </c>
      <c r="J2422" s="90">
        <f>G2422*AO2422</f>
        <v>0</v>
      </c>
      <c r="K2422" s="90">
        <f>G2422*AP2422</f>
        <v>0</v>
      </c>
      <c r="L2422" s="90">
        <f>G2422*H2422</f>
        <v>0</v>
      </c>
      <c r="M2422" s="90">
        <f>L2422*(1+BW2422/100)</f>
        <v>0</v>
      </c>
      <c r="N2422" s="90">
        <v>1.6100000000000001E-3</v>
      </c>
      <c r="O2422" s="90">
        <f>G2422*N2422</f>
        <v>4.8300000000000001E-3</v>
      </c>
      <c r="P2422" s="92" t="s">
        <v>64</v>
      </c>
      <c r="Z2422" s="93">
        <f>IF(AQ2422="5",BJ2422,0)</f>
        <v>0</v>
      </c>
      <c r="AB2422" s="93">
        <f>IF(AQ2422="1",BH2422,0)</f>
        <v>0</v>
      </c>
      <c r="AC2422" s="93">
        <f>IF(AQ2422="1",BI2422,0)</f>
        <v>0</v>
      </c>
      <c r="AD2422" s="93">
        <f>IF(AQ2422="7",BH2422,0)</f>
        <v>0</v>
      </c>
      <c r="AE2422" s="93">
        <f>IF(AQ2422="7",BI2422,0)</f>
        <v>0</v>
      </c>
      <c r="AF2422" s="93">
        <f>IF(AQ2422="2",BH2422,0)</f>
        <v>0</v>
      </c>
      <c r="AG2422" s="93">
        <f>IF(AQ2422="2",BI2422,0)</f>
        <v>0</v>
      </c>
      <c r="AH2422" s="93">
        <f>IF(AQ2422="0",BJ2422,0)</f>
        <v>0</v>
      </c>
      <c r="AI2422" s="88" t="s">
        <v>55</v>
      </c>
      <c r="AJ2422" s="93">
        <f>IF(AN2422=0,L2422,0)</f>
        <v>0</v>
      </c>
      <c r="AK2422" s="93">
        <f>IF(AN2422=12,L2422,0)</f>
        <v>0</v>
      </c>
      <c r="AL2422" s="93">
        <f>IF(AN2422=21,L2422,0)</f>
        <v>0</v>
      </c>
      <c r="AN2422" s="93">
        <v>21</v>
      </c>
      <c r="AO2422" s="93">
        <f>H2422*0.690446761</f>
        <v>0</v>
      </c>
      <c r="AP2422" s="93">
        <f>H2422*(1-0.690446761)</f>
        <v>0</v>
      </c>
      <c r="AQ2422" s="94" t="s">
        <v>148</v>
      </c>
      <c r="AV2422" s="93">
        <f>AW2422+AX2422</f>
        <v>0</v>
      </c>
      <c r="AW2422" s="93">
        <f>G2422*AO2422</f>
        <v>0</v>
      </c>
      <c r="AX2422" s="93">
        <f>G2422*AP2422</f>
        <v>0</v>
      </c>
      <c r="AY2422" s="94" t="s">
        <v>3131</v>
      </c>
      <c r="AZ2422" s="94" t="s">
        <v>2927</v>
      </c>
      <c r="BA2422" s="88" t="s">
        <v>67</v>
      </c>
      <c r="BC2422" s="93">
        <f>AW2422+AX2422</f>
        <v>0</v>
      </c>
      <c r="BD2422" s="93">
        <f>H2422/(100-BE2422)*100</f>
        <v>0</v>
      </c>
      <c r="BE2422" s="93">
        <v>0</v>
      </c>
      <c r="BF2422" s="93">
        <f>O2422</f>
        <v>4.8300000000000001E-3</v>
      </c>
      <c r="BH2422" s="93">
        <f>G2422*AO2422</f>
        <v>0</v>
      </c>
      <c r="BI2422" s="93">
        <f>G2422*AP2422</f>
        <v>0</v>
      </c>
      <c r="BJ2422" s="93">
        <f>G2422*H2422</f>
        <v>0</v>
      </c>
      <c r="BK2422" s="93"/>
      <c r="BL2422" s="93"/>
      <c r="BW2422" s="93" t="str">
        <f>I2422</f>
        <v>21</v>
      </c>
      <c r="BX2422" s="2" t="s">
        <v>3239</v>
      </c>
    </row>
    <row r="2423" spans="1:76" s="81" customFormat="1" ht="13.5" customHeight="1" x14ac:dyDescent="0.25">
      <c r="A2423" s="110"/>
      <c r="B2423" s="95"/>
      <c r="C2423" s="95"/>
      <c r="D2423" s="179" t="s">
        <v>3232</v>
      </c>
      <c r="E2423" s="179"/>
      <c r="F2423" s="179"/>
      <c r="G2423" s="179"/>
      <c r="H2423" s="179"/>
      <c r="I2423" s="179"/>
      <c r="J2423" s="179"/>
      <c r="K2423" s="179"/>
      <c r="L2423" s="179"/>
      <c r="M2423" s="179"/>
      <c r="N2423" s="179"/>
      <c r="O2423" s="179"/>
      <c r="P2423" s="179"/>
    </row>
    <row r="2424" spans="1:76" s="81" customFormat="1" ht="25.5" x14ac:dyDescent="0.25">
      <c r="A2424" s="66" t="s">
        <v>3250</v>
      </c>
      <c r="B2424" s="72" t="s">
        <v>55</v>
      </c>
      <c r="C2424" s="72" t="s">
        <v>3241</v>
      </c>
      <c r="D2424" s="174" t="s">
        <v>3242</v>
      </c>
      <c r="E2424" s="174"/>
      <c r="F2424" s="72" t="s">
        <v>213</v>
      </c>
      <c r="G2424" s="90">
        <v>10</v>
      </c>
      <c r="H2424" s="91"/>
      <c r="I2424" s="92" t="s">
        <v>63</v>
      </c>
      <c r="J2424" s="90">
        <f>G2424*AO2424</f>
        <v>0</v>
      </c>
      <c r="K2424" s="90">
        <f>G2424*AP2424</f>
        <v>0</v>
      </c>
      <c r="L2424" s="90">
        <f>G2424*H2424</f>
        <v>0</v>
      </c>
      <c r="M2424" s="90">
        <f>L2424*(1+BW2424/100)</f>
        <v>0</v>
      </c>
      <c r="N2424" s="90">
        <v>1.5200000000000001E-3</v>
      </c>
      <c r="O2424" s="90">
        <f>G2424*N2424</f>
        <v>1.5200000000000002E-2</v>
      </c>
      <c r="P2424" s="92" t="s">
        <v>64</v>
      </c>
      <c r="Z2424" s="93">
        <f>IF(AQ2424="5",BJ2424,0)</f>
        <v>0</v>
      </c>
      <c r="AB2424" s="93">
        <f>IF(AQ2424="1",BH2424,0)</f>
        <v>0</v>
      </c>
      <c r="AC2424" s="93">
        <f>IF(AQ2424="1",BI2424,0)</f>
        <v>0</v>
      </c>
      <c r="AD2424" s="93">
        <f>IF(AQ2424="7",BH2424,0)</f>
        <v>0</v>
      </c>
      <c r="AE2424" s="93">
        <f>IF(AQ2424="7",BI2424,0)</f>
        <v>0</v>
      </c>
      <c r="AF2424" s="93">
        <f>IF(AQ2424="2",BH2424,0)</f>
        <v>0</v>
      </c>
      <c r="AG2424" s="93">
        <f>IF(AQ2424="2",BI2424,0)</f>
        <v>0</v>
      </c>
      <c r="AH2424" s="93">
        <f>IF(AQ2424="0",BJ2424,0)</f>
        <v>0</v>
      </c>
      <c r="AI2424" s="88" t="s">
        <v>55</v>
      </c>
      <c r="AJ2424" s="93">
        <f>IF(AN2424=0,L2424,0)</f>
        <v>0</v>
      </c>
      <c r="AK2424" s="93">
        <f>IF(AN2424=12,L2424,0)</f>
        <v>0</v>
      </c>
      <c r="AL2424" s="93">
        <f>IF(AN2424=21,L2424,0)</f>
        <v>0</v>
      </c>
      <c r="AN2424" s="93">
        <v>21</v>
      </c>
      <c r="AO2424" s="93">
        <f>H2424*0.369389313</f>
        <v>0</v>
      </c>
      <c r="AP2424" s="93">
        <f>H2424*(1-0.369389313)</f>
        <v>0</v>
      </c>
      <c r="AQ2424" s="94" t="s">
        <v>148</v>
      </c>
      <c r="AV2424" s="93">
        <f>AW2424+AX2424</f>
        <v>0</v>
      </c>
      <c r="AW2424" s="93">
        <f>G2424*AO2424</f>
        <v>0</v>
      </c>
      <c r="AX2424" s="93">
        <f>G2424*AP2424</f>
        <v>0</v>
      </c>
      <c r="AY2424" s="94" t="s">
        <v>3131</v>
      </c>
      <c r="AZ2424" s="94" t="s">
        <v>2927</v>
      </c>
      <c r="BA2424" s="88" t="s">
        <v>67</v>
      </c>
      <c r="BC2424" s="93">
        <f>AW2424+AX2424</f>
        <v>0</v>
      </c>
      <c r="BD2424" s="93">
        <f>H2424/(100-BE2424)*100</f>
        <v>0</v>
      </c>
      <c r="BE2424" s="93">
        <v>0</v>
      </c>
      <c r="BF2424" s="93">
        <f>O2424</f>
        <v>1.5200000000000002E-2</v>
      </c>
      <c r="BH2424" s="93">
        <f>G2424*AO2424</f>
        <v>0</v>
      </c>
      <c r="BI2424" s="93">
        <f>G2424*AP2424</f>
        <v>0</v>
      </c>
      <c r="BJ2424" s="93">
        <f>G2424*H2424</f>
        <v>0</v>
      </c>
      <c r="BK2424" s="93"/>
      <c r="BL2424" s="93"/>
      <c r="BW2424" s="93" t="str">
        <f>I2424</f>
        <v>21</v>
      </c>
      <c r="BX2424" s="2" t="s">
        <v>3242</v>
      </c>
    </row>
    <row r="2425" spans="1:76" s="81" customFormat="1" ht="13.5" customHeight="1" x14ac:dyDescent="0.25">
      <c r="A2425" s="110"/>
      <c r="B2425" s="95"/>
      <c r="C2425" s="95"/>
      <c r="D2425" s="179" t="s">
        <v>3236</v>
      </c>
      <c r="E2425" s="179"/>
      <c r="F2425" s="179"/>
      <c r="G2425" s="179"/>
      <c r="H2425" s="179"/>
      <c r="I2425" s="179"/>
      <c r="J2425" s="179"/>
      <c r="K2425" s="179"/>
      <c r="L2425" s="179"/>
      <c r="M2425" s="179"/>
      <c r="N2425" s="179"/>
      <c r="O2425" s="179"/>
      <c r="P2425" s="179"/>
    </row>
    <row r="2426" spans="1:76" s="81" customFormat="1" ht="25.5" x14ac:dyDescent="0.25">
      <c r="A2426" s="66" t="s">
        <v>3252</v>
      </c>
      <c r="B2426" s="72" t="s">
        <v>55</v>
      </c>
      <c r="C2426" s="72" t="s">
        <v>3244</v>
      </c>
      <c r="D2426" s="174" t="s">
        <v>3245</v>
      </c>
      <c r="E2426" s="174"/>
      <c r="F2426" s="72" t="s">
        <v>213</v>
      </c>
      <c r="G2426" s="90">
        <v>103</v>
      </c>
      <c r="H2426" s="91"/>
      <c r="I2426" s="92" t="s">
        <v>63</v>
      </c>
      <c r="J2426" s="90">
        <f>G2426*AO2426</f>
        <v>0</v>
      </c>
      <c r="K2426" s="90">
        <f>G2426*AP2426</f>
        <v>0</v>
      </c>
      <c r="L2426" s="90">
        <f>G2426*H2426</f>
        <v>0</v>
      </c>
      <c r="M2426" s="90">
        <f>L2426*(1+BW2426/100)</f>
        <v>0</v>
      </c>
      <c r="N2426" s="90">
        <v>3.5699999999999998E-3</v>
      </c>
      <c r="O2426" s="90">
        <f>G2426*N2426</f>
        <v>0.36770999999999998</v>
      </c>
      <c r="P2426" s="92" t="s">
        <v>64</v>
      </c>
      <c r="Z2426" s="93">
        <f>IF(AQ2426="5",BJ2426,0)</f>
        <v>0</v>
      </c>
      <c r="AB2426" s="93">
        <f>IF(AQ2426="1",BH2426,0)</f>
        <v>0</v>
      </c>
      <c r="AC2426" s="93">
        <f>IF(AQ2426="1",BI2426,0)</f>
        <v>0</v>
      </c>
      <c r="AD2426" s="93">
        <f>IF(AQ2426="7",BH2426,0)</f>
        <v>0</v>
      </c>
      <c r="AE2426" s="93">
        <f>IF(AQ2426="7",BI2426,0)</f>
        <v>0</v>
      </c>
      <c r="AF2426" s="93">
        <f>IF(AQ2426="2",BH2426,0)</f>
        <v>0</v>
      </c>
      <c r="AG2426" s="93">
        <f>IF(AQ2426="2",BI2426,0)</f>
        <v>0</v>
      </c>
      <c r="AH2426" s="93">
        <f>IF(AQ2426="0",BJ2426,0)</f>
        <v>0</v>
      </c>
      <c r="AI2426" s="88" t="s">
        <v>55</v>
      </c>
      <c r="AJ2426" s="93">
        <f>IF(AN2426=0,L2426,0)</f>
        <v>0</v>
      </c>
      <c r="AK2426" s="93">
        <f>IF(AN2426=12,L2426,0)</f>
        <v>0</v>
      </c>
      <c r="AL2426" s="93">
        <f>IF(AN2426=21,L2426,0)</f>
        <v>0</v>
      </c>
      <c r="AN2426" s="93">
        <v>21</v>
      </c>
      <c r="AO2426" s="93">
        <f>H2426*0.71440553</f>
        <v>0</v>
      </c>
      <c r="AP2426" s="93">
        <f>H2426*(1-0.71440553)</f>
        <v>0</v>
      </c>
      <c r="AQ2426" s="94" t="s">
        <v>148</v>
      </c>
      <c r="AV2426" s="93">
        <f>AW2426+AX2426</f>
        <v>0</v>
      </c>
      <c r="AW2426" s="93">
        <f>G2426*AO2426</f>
        <v>0</v>
      </c>
      <c r="AX2426" s="93">
        <f>G2426*AP2426</f>
        <v>0</v>
      </c>
      <c r="AY2426" s="94" t="s">
        <v>3131</v>
      </c>
      <c r="AZ2426" s="94" t="s">
        <v>2927</v>
      </c>
      <c r="BA2426" s="88" t="s">
        <v>67</v>
      </c>
      <c r="BC2426" s="93">
        <f>AW2426+AX2426</f>
        <v>0</v>
      </c>
      <c r="BD2426" s="93">
        <f>H2426/(100-BE2426)*100</f>
        <v>0</v>
      </c>
      <c r="BE2426" s="93">
        <v>0</v>
      </c>
      <c r="BF2426" s="93">
        <f>O2426</f>
        <v>0.36770999999999998</v>
      </c>
      <c r="BH2426" s="93">
        <f>G2426*AO2426</f>
        <v>0</v>
      </c>
      <c r="BI2426" s="93">
        <f>G2426*AP2426</f>
        <v>0</v>
      </c>
      <c r="BJ2426" s="93">
        <f>G2426*H2426</f>
        <v>0</v>
      </c>
      <c r="BK2426" s="93"/>
      <c r="BL2426" s="93"/>
      <c r="BW2426" s="93" t="str">
        <f>I2426</f>
        <v>21</v>
      </c>
      <c r="BX2426" s="2" t="s">
        <v>3245</v>
      </c>
    </row>
    <row r="2427" spans="1:76" s="81" customFormat="1" ht="13.5" customHeight="1" x14ac:dyDescent="0.25">
      <c r="A2427" s="110"/>
      <c r="B2427" s="95"/>
      <c r="C2427" s="95"/>
      <c r="D2427" s="179" t="s">
        <v>3246</v>
      </c>
      <c r="E2427" s="179"/>
      <c r="F2427" s="179"/>
      <c r="G2427" s="179"/>
      <c r="H2427" s="179"/>
      <c r="I2427" s="179"/>
      <c r="J2427" s="179"/>
      <c r="K2427" s="179"/>
      <c r="L2427" s="179"/>
      <c r="M2427" s="179"/>
      <c r="N2427" s="179"/>
      <c r="O2427" s="179"/>
      <c r="P2427" s="179"/>
    </row>
    <row r="2428" spans="1:76" s="81" customFormat="1" ht="25.5" x14ac:dyDescent="0.25">
      <c r="A2428" s="66" t="s">
        <v>3255</v>
      </c>
      <c r="B2428" s="72" t="s">
        <v>55</v>
      </c>
      <c r="C2428" s="72" t="s">
        <v>3248</v>
      </c>
      <c r="D2428" s="174" t="s">
        <v>3249</v>
      </c>
      <c r="E2428" s="174"/>
      <c r="F2428" s="72" t="s">
        <v>213</v>
      </c>
      <c r="G2428" s="90">
        <v>69</v>
      </c>
      <c r="H2428" s="91"/>
      <c r="I2428" s="92" t="s">
        <v>63</v>
      </c>
      <c r="J2428" s="90">
        <f>G2428*AO2428</f>
        <v>0</v>
      </c>
      <c r="K2428" s="90">
        <f>G2428*AP2428</f>
        <v>0</v>
      </c>
      <c r="L2428" s="90">
        <f>G2428*H2428</f>
        <v>0</v>
      </c>
      <c r="M2428" s="90">
        <f>L2428*(1+BW2428/100)</f>
        <v>0</v>
      </c>
      <c r="N2428" s="90">
        <v>2.5200000000000001E-3</v>
      </c>
      <c r="O2428" s="90">
        <f>G2428*N2428</f>
        <v>0.17388000000000001</v>
      </c>
      <c r="P2428" s="92" t="s">
        <v>64</v>
      </c>
      <c r="Z2428" s="93">
        <f>IF(AQ2428="5",BJ2428,0)</f>
        <v>0</v>
      </c>
      <c r="AB2428" s="93">
        <f>IF(AQ2428="1",BH2428,0)</f>
        <v>0</v>
      </c>
      <c r="AC2428" s="93">
        <f>IF(AQ2428="1",BI2428,0)</f>
        <v>0</v>
      </c>
      <c r="AD2428" s="93">
        <f>IF(AQ2428="7",BH2428,0)</f>
        <v>0</v>
      </c>
      <c r="AE2428" s="93">
        <f>IF(AQ2428="7",BI2428,0)</f>
        <v>0</v>
      </c>
      <c r="AF2428" s="93">
        <f>IF(AQ2428="2",BH2428,0)</f>
        <v>0</v>
      </c>
      <c r="AG2428" s="93">
        <f>IF(AQ2428="2",BI2428,0)</f>
        <v>0</v>
      </c>
      <c r="AH2428" s="93">
        <f>IF(AQ2428="0",BJ2428,0)</f>
        <v>0</v>
      </c>
      <c r="AI2428" s="88" t="s">
        <v>55</v>
      </c>
      <c r="AJ2428" s="93">
        <f>IF(AN2428=0,L2428,0)</f>
        <v>0</v>
      </c>
      <c r="AK2428" s="93">
        <f>IF(AN2428=12,L2428,0)</f>
        <v>0</v>
      </c>
      <c r="AL2428" s="93">
        <f>IF(AN2428=21,L2428,0)</f>
        <v>0</v>
      </c>
      <c r="AN2428" s="93">
        <v>21</v>
      </c>
      <c r="AO2428" s="93">
        <f>H2428*0.572777251</f>
        <v>0</v>
      </c>
      <c r="AP2428" s="93">
        <f>H2428*(1-0.572777251)</f>
        <v>0</v>
      </c>
      <c r="AQ2428" s="94" t="s">
        <v>148</v>
      </c>
      <c r="AV2428" s="93">
        <f>AW2428+AX2428</f>
        <v>0</v>
      </c>
      <c r="AW2428" s="93">
        <f>G2428*AO2428</f>
        <v>0</v>
      </c>
      <c r="AX2428" s="93">
        <f>G2428*AP2428</f>
        <v>0</v>
      </c>
      <c r="AY2428" s="94" t="s">
        <v>3131</v>
      </c>
      <c r="AZ2428" s="94" t="s">
        <v>2927</v>
      </c>
      <c r="BA2428" s="88" t="s">
        <v>67</v>
      </c>
      <c r="BC2428" s="93">
        <f>AW2428+AX2428</f>
        <v>0</v>
      </c>
      <c r="BD2428" s="93">
        <f>H2428/(100-BE2428)*100</f>
        <v>0</v>
      </c>
      <c r="BE2428" s="93">
        <v>0</v>
      </c>
      <c r="BF2428" s="93">
        <f>O2428</f>
        <v>0.17388000000000001</v>
      </c>
      <c r="BH2428" s="93">
        <f>G2428*AO2428</f>
        <v>0</v>
      </c>
      <c r="BI2428" s="93">
        <f>G2428*AP2428</f>
        <v>0</v>
      </c>
      <c r="BJ2428" s="93">
        <f>G2428*H2428</f>
        <v>0</v>
      </c>
      <c r="BK2428" s="93"/>
      <c r="BL2428" s="93"/>
      <c r="BW2428" s="93" t="str">
        <f>I2428</f>
        <v>21</v>
      </c>
      <c r="BX2428" s="2" t="s">
        <v>3249</v>
      </c>
    </row>
    <row r="2429" spans="1:76" s="81" customFormat="1" ht="25.5" x14ac:dyDescent="0.25">
      <c r="A2429" s="66" t="s">
        <v>3258</v>
      </c>
      <c r="B2429" s="72" t="s">
        <v>55</v>
      </c>
      <c r="C2429" s="72" t="s">
        <v>3248</v>
      </c>
      <c r="D2429" s="174" t="s">
        <v>3251</v>
      </c>
      <c r="E2429" s="174"/>
      <c r="F2429" s="72" t="s">
        <v>213</v>
      </c>
      <c r="G2429" s="90">
        <v>51.5</v>
      </c>
      <c r="H2429" s="91"/>
      <c r="I2429" s="92" t="s">
        <v>63</v>
      </c>
      <c r="J2429" s="90">
        <f>G2429*AO2429</f>
        <v>0</v>
      </c>
      <c r="K2429" s="90">
        <f>G2429*AP2429</f>
        <v>0</v>
      </c>
      <c r="L2429" s="90">
        <f>G2429*H2429</f>
        <v>0</v>
      </c>
      <c r="M2429" s="90">
        <f>L2429*(1+BW2429/100)</f>
        <v>0</v>
      </c>
      <c r="N2429" s="90">
        <v>2.5200000000000001E-3</v>
      </c>
      <c r="O2429" s="90">
        <f>G2429*N2429</f>
        <v>0.12978000000000001</v>
      </c>
      <c r="P2429" s="92" t="s">
        <v>64</v>
      </c>
      <c r="Z2429" s="93">
        <f>IF(AQ2429="5",BJ2429,0)</f>
        <v>0</v>
      </c>
      <c r="AB2429" s="93">
        <f>IF(AQ2429="1",BH2429,0)</f>
        <v>0</v>
      </c>
      <c r="AC2429" s="93">
        <f>IF(AQ2429="1",BI2429,0)</f>
        <v>0</v>
      </c>
      <c r="AD2429" s="93">
        <f>IF(AQ2429="7",BH2429,0)</f>
        <v>0</v>
      </c>
      <c r="AE2429" s="93">
        <f>IF(AQ2429="7",BI2429,0)</f>
        <v>0</v>
      </c>
      <c r="AF2429" s="93">
        <f>IF(AQ2429="2",BH2429,0)</f>
        <v>0</v>
      </c>
      <c r="AG2429" s="93">
        <f>IF(AQ2429="2",BI2429,0)</f>
        <v>0</v>
      </c>
      <c r="AH2429" s="93">
        <f>IF(AQ2429="0",BJ2429,0)</f>
        <v>0</v>
      </c>
      <c r="AI2429" s="88" t="s">
        <v>55</v>
      </c>
      <c r="AJ2429" s="93">
        <f>IF(AN2429=0,L2429,0)</f>
        <v>0</v>
      </c>
      <c r="AK2429" s="93">
        <f>IF(AN2429=12,L2429,0)</f>
        <v>0</v>
      </c>
      <c r="AL2429" s="93">
        <f>IF(AN2429=21,L2429,0)</f>
        <v>0</v>
      </c>
      <c r="AN2429" s="93">
        <v>21</v>
      </c>
      <c r="AO2429" s="93">
        <f>H2429*0.572777251</f>
        <v>0</v>
      </c>
      <c r="AP2429" s="93">
        <f>H2429*(1-0.572777251)</f>
        <v>0</v>
      </c>
      <c r="AQ2429" s="94" t="s">
        <v>148</v>
      </c>
      <c r="AV2429" s="93">
        <f>AW2429+AX2429</f>
        <v>0</v>
      </c>
      <c r="AW2429" s="93">
        <f>G2429*AO2429</f>
        <v>0</v>
      </c>
      <c r="AX2429" s="93">
        <f>G2429*AP2429</f>
        <v>0</v>
      </c>
      <c r="AY2429" s="94" t="s">
        <v>3131</v>
      </c>
      <c r="AZ2429" s="94" t="s">
        <v>2927</v>
      </c>
      <c r="BA2429" s="88" t="s">
        <v>67</v>
      </c>
      <c r="BC2429" s="93">
        <f>AW2429+AX2429</f>
        <v>0</v>
      </c>
      <c r="BD2429" s="93">
        <f>H2429/(100-BE2429)*100</f>
        <v>0</v>
      </c>
      <c r="BE2429" s="93">
        <v>0</v>
      </c>
      <c r="BF2429" s="93">
        <f>O2429</f>
        <v>0.12978000000000001</v>
      </c>
      <c r="BH2429" s="93">
        <f>G2429*AO2429</f>
        <v>0</v>
      </c>
      <c r="BI2429" s="93">
        <f>G2429*AP2429</f>
        <v>0</v>
      </c>
      <c r="BJ2429" s="93">
        <f>G2429*H2429</f>
        <v>0</v>
      </c>
      <c r="BK2429" s="93"/>
      <c r="BL2429" s="93"/>
      <c r="BW2429" s="93" t="str">
        <f>I2429</f>
        <v>21</v>
      </c>
      <c r="BX2429" s="2" t="s">
        <v>3251</v>
      </c>
    </row>
    <row r="2430" spans="1:76" s="81" customFormat="1" ht="25.5" x14ac:dyDescent="0.25">
      <c r="A2430" s="66" t="s">
        <v>3261</v>
      </c>
      <c r="B2430" s="72" t="s">
        <v>55</v>
      </c>
      <c r="C2430" s="72" t="s">
        <v>3253</v>
      </c>
      <c r="D2430" s="174" t="s">
        <v>3254</v>
      </c>
      <c r="E2430" s="174"/>
      <c r="F2430" s="72" t="s">
        <v>213</v>
      </c>
      <c r="G2430" s="90">
        <v>19.5</v>
      </c>
      <c r="H2430" s="91"/>
      <c r="I2430" s="92" t="s">
        <v>63</v>
      </c>
      <c r="J2430" s="90">
        <f>G2430*AO2430</f>
        <v>0</v>
      </c>
      <c r="K2430" s="90">
        <f>G2430*AP2430</f>
        <v>0</v>
      </c>
      <c r="L2430" s="90">
        <f>G2430*H2430</f>
        <v>0</v>
      </c>
      <c r="M2430" s="90">
        <f>L2430*(1+BW2430/100)</f>
        <v>0</v>
      </c>
      <c r="N2430" s="90">
        <v>2.0999999999999999E-3</v>
      </c>
      <c r="O2430" s="90">
        <f>G2430*N2430</f>
        <v>4.095E-2</v>
      </c>
      <c r="P2430" s="92" t="s">
        <v>64</v>
      </c>
      <c r="Z2430" s="93">
        <f>IF(AQ2430="5",BJ2430,0)</f>
        <v>0</v>
      </c>
      <c r="AB2430" s="93">
        <f>IF(AQ2430="1",BH2430,0)</f>
        <v>0</v>
      </c>
      <c r="AC2430" s="93">
        <f>IF(AQ2430="1",BI2430,0)</f>
        <v>0</v>
      </c>
      <c r="AD2430" s="93">
        <f>IF(AQ2430="7",BH2430,0)</f>
        <v>0</v>
      </c>
      <c r="AE2430" s="93">
        <f>IF(AQ2430="7",BI2430,0)</f>
        <v>0</v>
      </c>
      <c r="AF2430" s="93">
        <f>IF(AQ2430="2",BH2430,0)</f>
        <v>0</v>
      </c>
      <c r="AG2430" s="93">
        <f>IF(AQ2430="2",BI2430,0)</f>
        <v>0</v>
      </c>
      <c r="AH2430" s="93">
        <f>IF(AQ2430="0",BJ2430,0)</f>
        <v>0</v>
      </c>
      <c r="AI2430" s="88" t="s">
        <v>55</v>
      </c>
      <c r="AJ2430" s="93">
        <f>IF(AN2430=0,L2430,0)</f>
        <v>0</v>
      </c>
      <c r="AK2430" s="93">
        <f>IF(AN2430=12,L2430,0)</f>
        <v>0</v>
      </c>
      <c r="AL2430" s="93">
        <f>IF(AN2430=21,L2430,0)</f>
        <v>0</v>
      </c>
      <c r="AN2430" s="93">
        <v>21</v>
      </c>
      <c r="AO2430" s="93">
        <f>H2430*0.493573034</f>
        <v>0</v>
      </c>
      <c r="AP2430" s="93">
        <f>H2430*(1-0.493573034)</f>
        <v>0</v>
      </c>
      <c r="AQ2430" s="94" t="s">
        <v>148</v>
      </c>
      <c r="AV2430" s="93">
        <f>AW2430+AX2430</f>
        <v>0</v>
      </c>
      <c r="AW2430" s="93">
        <f>G2430*AO2430</f>
        <v>0</v>
      </c>
      <c r="AX2430" s="93">
        <f>G2430*AP2430</f>
        <v>0</v>
      </c>
      <c r="AY2430" s="94" t="s">
        <v>3131</v>
      </c>
      <c r="AZ2430" s="94" t="s">
        <v>2927</v>
      </c>
      <c r="BA2430" s="88" t="s">
        <v>67</v>
      </c>
      <c r="BC2430" s="93">
        <f>AW2430+AX2430</f>
        <v>0</v>
      </c>
      <c r="BD2430" s="93">
        <f>H2430/(100-BE2430)*100</f>
        <v>0</v>
      </c>
      <c r="BE2430" s="93">
        <v>0</v>
      </c>
      <c r="BF2430" s="93">
        <f>O2430</f>
        <v>4.095E-2</v>
      </c>
      <c r="BH2430" s="93">
        <f>G2430*AO2430</f>
        <v>0</v>
      </c>
      <c r="BI2430" s="93">
        <f>G2430*AP2430</f>
        <v>0</v>
      </c>
      <c r="BJ2430" s="93">
        <f>G2430*H2430</f>
        <v>0</v>
      </c>
      <c r="BK2430" s="93"/>
      <c r="BL2430" s="93"/>
      <c r="BW2430" s="93" t="str">
        <f>I2430</f>
        <v>21</v>
      </c>
      <c r="BX2430" s="2" t="s">
        <v>3254</v>
      </c>
    </row>
    <row r="2431" spans="1:76" s="81" customFormat="1" ht="25.5" x14ac:dyDescent="0.25">
      <c r="A2431" s="66" t="s">
        <v>3264</v>
      </c>
      <c r="B2431" s="72" t="s">
        <v>55</v>
      </c>
      <c r="C2431" s="72" t="s">
        <v>3256</v>
      </c>
      <c r="D2431" s="174" t="s">
        <v>3257</v>
      </c>
      <c r="E2431" s="174"/>
      <c r="F2431" s="72" t="s">
        <v>213</v>
      </c>
      <c r="G2431" s="90">
        <v>117.5</v>
      </c>
      <c r="H2431" s="91"/>
      <c r="I2431" s="92" t="s">
        <v>63</v>
      </c>
      <c r="J2431" s="90">
        <f>G2431*AO2431</f>
        <v>0</v>
      </c>
      <c r="K2431" s="90">
        <f>G2431*AP2431</f>
        <v>0</v>
      </c>
      <c r="L2431" s="90">
        <f>G2431*H2431</f>
        <v>0</v>
      </c>
      <c r="M2431" s="90">
        <f>L2431*(1+BW2431/100)</f>
        <v>0</v>
      </c>
      <c r="N2431" s="90">
        <v>1.31E-3</v>
      </c>
      <c r="O2431" s="90">
        <f>G2431*N2431</f>
        <v>0.15392500000000001</v>
      </c>
      <c r="P2431" s="92" t="s">
        <v>64</v>
      </c>
      <c r="Z2431" s="93">
        <f>IF(AQ2431="5",BJ2431,0)</f>
        <v>0</v>
      </c>
      <c r="AB2431" s="93">
        <f>IF(AQ2431="1",BH2431,0)</f>
        <v>0</v>
      </c>
      <c r="AC2431" s="93">
        <f>IF(AQ2431="1",BI2431,0)</f>
        <v>0</v>
      </c>
      <c r="AD2431" s="93">
        <f>IF(AQ2431="7",BH2431,0)</f>
        <v>0</v>
      </c>
      <c r="AE2431" s="93">
        <f>IF(AQ2431="7",BI2431,0)</f>
        <v>0</v>
      </c>
      <c r="AF2431" s="93">
        <f>IF(AQ2431="2",BH2431,0)</f>
        <v>0</v>
      </c>
      <c r="AG2431" s="93">
        <f>IF(AQ2431="2",BI2431,0)</f>
        <v>0</v>
      </c>
      <c r="AH2431" s="93">
        <f>IF(AQ2431="0",BJ2431,0)</f>
        <v>0</v>
      </c>
      <c r="AI2431" s="88" t="s">
        <v>55</v>
      </c>
      <c r="AJ2431" s="93">
        <f>IF(AN2431=0,L2431,0)</f>
        <v>0</v>
      </c>
      <c r="AK2431" s="93">
        <f>IF(AN2431=12,L2431,0)</f>
        <v>0</v>
      </c>
      <c r="AL2431" s="93">
        <f>IF(AN2431=21,L2431,0)</f>
        <v>0</v>
      </c>
      <c r="AN2431" s="93">
        <v>21</v>
      </c>
      <c r="AO2431" s="93">
        <f>H2431*0.477365967</f>
        <v>0</v>
      </c>
      <c r="AP2431" s="93">
        <f>H2431*(1-0.477365967)</f>
        <v>0</v>
      </c>
      <c r="AQ2431" s="94" t="s">
        <v>148</v>
      </c>
      <c r="AV2431" s="93">
        <f>AW2431+AX2431</f>
        <v>0</v>
      </c>
      <c r="AW2431" s="93">
        <f>G2431*AO2431</f>
        <v>0</v>
      </c>
      <c r="AX2431" s="93">
        <f>G2431*AP2431</f>
        <v>0</v>
      </c>
      <c r="AY2431" s="94" t="s">
        <v>3131</v>
      </c>
      <c r="AZ2431" s="94" t="s">
        <v>2927</v>
      </c>
      <c r="BA2431" s="88" t="s">
        <v>67</v>
      </c>
      <c r="BC2431" s="93">
        <f>AW2431+AX2431</f>
        <v>0</v>
      </c>
      <c r="BD2431" s="93">
        <f>H2431/(100-BE2431)*100</f>
        <v>0</v>
      </c>
      <c r="BE2431" s="93">
        <v>0</v>
      </c>
      <c r="BF2431" s="93">
        <f>O2431</f>
        <v>0.15392500000000001</v>
      </c>
      <c r="BH2431" s="93">
        <f>G2431*AO2431</f>
        <v>0</v>
      </c>
      <c r="BI2431" s="93">
        <f>G2431*AP2431</f>
        <v>0</v>
      </c>
      <c r="BJ2431" s="93">
        <f>G2431*H2431</f>
        <v>0</v>
      </c>
      <c r="BK2431" s="93"/>
      <c r="BL2431" s="93"/>
      <c r="BW2431" s="93" t="str">
        <f>I2431</f>
        <v>21</v>
      </c>
      <c r="BX2431" s="2" t="s">
        <v>3257</v>
      </c>
    </row>
    <row r="2432" spans="1:76" s="81" customFormat="1" ht="13.5" customHeight="1" x14ac:dyDescent="0.25">
      <c r="A2432" s="110"/>
      <c r="B2432" s="95"/>
      <c r="C2432" s="95"/>
      <c r="D2432" s="179" t="s">
        <v>3232</v>
      </c>
      <c r="E2432" s="179"/>
      <c r="F2432" s="179"/>
      <c r="G2432" s="179"/>
      <c r="H2432" s="179"/>
      <c r="I2432" s="179"/>
      <c r="J2432" s="179"/>
      <c r="K2432" s="179"/>
      <c r="L2432" s="179"/>
      <c r="M2432" s="179"/>
      <c r="N2432" s="179"/>
      <c r="O2432" s="179"/>
      <c r="P2432" s="179"/>
    </row>
    <row r="2433" spans="1:76" s="81" customFormat="1" ht="25.5" x14ac:dyDescent="0.25">
      <c r="A2433" s="66" t="s">
        <v>3268</v>
      </c>
      <c r="B2433" s="72" t="s">
        <v>55</v>
      </c>
      <c r="C2433" s="72" t="s">
        <v>3259</v>
      </c>
      <c r="D2433" s="174" t="s">
        <v>3260</v>
      </c>
      <c r="E2433" s="174"/>
      <c r="F2433" s="72" t="s">
        <v>203</v>
      </c>
      <c r="G2433" s="90">
        <v>2</v>
      </c>
      <c r="H2433" s="91"/>
      <c r="I2433" s="92" t="s">
        <v>63</v>
      </c>
      <c r="J2433" s="90">
        <f>G2433*AO2433</f>
        <v>0</v>
      </c>
      <c r="K2433" s="90">
        <f>G2433*AP2433</f>
        <v>0</v>
      </c>
      <c r="L2433" s="90">
        <f>G2433*H2433</f>
        <v>0</v>
      </c>
      <c r="M2433" s="90">
        <f>L2433*(1+BW2433/100)</f>
        <v>0</v>
      </c>
      <c r="N2433" s="90">
        <v>1.25E-3</v>
      </c>
      <c r="O2433" s="90">
        <f>G2433*N2433</f>
        <v>2.5000000000000001E-3</v>
      </c>
      <c r="P2433" s="92" t="s">
        <v>64</v>
      </c>
      <c r="Z2433" s="93">
        <f>IF(AQ2433="5",BJ2433,0)</f>
        <v>0</v>
      </c>
      <c r="AB2433" s="93">
        <f>IF(AQ2433="1",BH2433,0)</f>
        <v>0</v>
      </c>
      <c r="AC2433" s="93">
        <f>IF(AQ2433="1",BI2433,0)</f>
        <v>0</v>
      </c>
      <c r="AD2433" s="93">
        <f>IF(AQ2433="7",BH2433,0)</f>
        <v>0</v>
      </c>
      <c r="AE2433" s="93">
        <f>IF(AQ2433="7",BI2433,0)</f>
        <v>0</v>
      </c>
      <c r="AF2433" s="93">
        <f>IF(AQ2433="2",BH2433,0)</f>
        <v>0</v>
      </c>
      <c r="AG2433" s="93">
        <f>IF(AQ2433="2",BI2433,0)</f>
        <v>0</v>
      </c>
      <c r="AH2433" s="93">
        <f>IF(AQ2433="0",BJ2433,0)</f>
        <v>0</v>
      </c>
      <c r="AI2433" s="88" t="s">
        <v>55</v>
      </c>
      <c r="AJ2433" s="93">
        <f>IF(AN2433=0,L2433,0)</f>
        <v>0</v>
      </c>
      <c r="AK2433" s="93">
        <f>IF(AN2433=12,L2433,0)</f>
        <v>0</v>
      </c>
      <c r="AL2433" s="93">
        <f>IF(AN2433=21,L2433,0)</f>
        <v>0</v>
      </c>
      <c r="AN2433" s="93">
        <v>21</v>
      </c>
      <c r="AO2433" s="93">
        <f>H2433*0.939348485</f>
        <v>0</v>
      </c>
      <c r="AP2433" s="93">
        <f>H2433*(1-0.939348485)</f>
        <v>0</v>
      </c>
      <c r="AQ2433" s="94" t="s">
        <v>148</v>
      </c>
      <c r="AV2433" s="93">
        <f>AW2433+AX2433</f>
        <v>0</v>
      </c>
      <c r="AW2433" s="93">
        <f>G2433*AO2433</f>
        <v>0</v>
      </c>
      <c r="AX2433" s="93">
        <f>G2433*AP2433</f>
        <v>0</v>
      </c>
      <c r="AY2433" s="94" t="s">
        <v>3131</v>
      </c>
      <c r="AZ2433" s="94" t="s">
        <v>2927</v>
      </c>
      <c r="BA2433" s="88" t="s">
        <v>67</v>
      </c>
      <c r="BC2433" s="93">
        <f>AW2433+AX2433</f>
        <v>0</v>
      </c>
      <c r="BD2433" s="93">
        <f>H2433/(100-BE2433)*100</f>
        <v>0</v>
      </c>
      <c r="BE2433" s="93">
        <v>0</v>
      </c>
      <c r="BF2433" s="93">
        <f>O2433</f>
        <v>2.5000000000000001E-3</v>
      </c>
      <c r="BH2433" s="93">
        <f>G2433*AO2433</f>
        <v>0</v>
      </c>
      <c r="BI2433" s="93">
        <f>G2433*AP2433</f>
        <v>0</v>
      </c>
      <c r="BJ2433" s="93">
        <f>G2433*H2433</f>
        <v>0</v>
      </c>
      <c r="BK2433" s="93"/>
      <c r="BL2433" s="93"/>
      <c r="BW2433" s="93" t="str">
        <f>I2433</f>
        <v>21</v>
      </c>
      <c r="BX2433" s="2" t="s">
        <v>3260</v>
      </c>
    </row>
    <row r="2434" spans="1:76" s="81" customFormat="1" ht="25.5" x14ac:dyDescent="0.25">
      <c r="A2434" s="66" t="s">
        <v>3272</v>
      </c>
      <c r="B2434" s="72" t="s">
        <v>55</v>
      </c>
      <c r="C2434" s="72" t="s">
        <v>3262</v>
      </c>
      <c r="D2434" s="174" t="s">
        <v>3263</v>
      </c>
      <c r="E2434" s="174"/>
      <c r="F2434" s="72" t="s">
        <v>213</v>
      </c>
      <c r="G2434" s="90">
        <v>306</v>
      </c>
      <c r="H2434" s="91"/>
      <c r="I2434" s="92" t="s">
        <v>63</v>
      </c>
      <c r="J2434" s="90">
        <f>G2434*AO2434</f>
        <v>0</v>
      </c>
      <c r="K2434" s="90">
        <f>G2434*AP2434</f>
        <v>0</v>
      </c>
      <c r="L2434" s="90">
        <f>G2434*H2434</f>
        <v>0</v>
      </c>
      <c r="M2434" s="90">
        <f>L2434*(1+BW2434/100)</f>
        <v>0</v>
      </c>
      <c r="N2434" s="90">
        <v>2.7999999999999998E-4</v>
      </c>
      <c r="O2434" s="90">
        <f>G2434*N2434</f>
        <v>8.5679999999999992E-2</v>
      </c>
      <c r="P2434" s="92" t="s">
        <v>371</v>
      </c>
      <c r="Z2434" s="93">
        <f>IF(AQ2434="5",BJ2434,0)</f>
        <v>0</v>
      </c>
      <c r="AB2434" s="93">
        <f>IF(AQ2434="1",BH2434,0)</f>
        <v>0</v>
      </c>
      <c r="AC2434" s="93">
        <f>IF(AQ2434="1",BI2434,0)</f>
        <v>0</v>
      </c>
      <c r="AD2434" s="93">
        <f>IF(AQ2434="7",BH2434,0)</f>
        <v>0</v>
      </c>
      <c r="AE2434" s="93">
        <f>IF(AQ2434="7",BI2434,0)</f>
        <v>0</v>
      </c>
      <c r="AF2434" s="93">
        <f>IF(AQ2434="2",BH2434,0)</f>
        <v>0</v>
      </c>
      <c r="AG2434" s="93">
        <f>IF(AQ2434="2",BI2434,0)</f>
        <v>0</v>
      </c>
      <c r="AH2434" s="93">
        <f>IF(AQ2434="0",BJ2434,0)</f>
        <v>0</v>
      </c>
      <c r="AI2434" s="88" t="s">
        <v>55</v>
      </c>
      <c r="AJ2434" s="93">
        <f>IF(AN2434=0,L2434,0)</f>
        <v>0</v>
      </c>
      <c r="AK2434" s="93">
        <f>IF(AN2434=12,L2434,0)</f>
        <v>0</v>
      </c>
      <c r="AL2434" s="93">
        <f>IF(AN2434=21,L2434,0)</f>
        <v>0</v>
      </c>
      <c r="AN2434" s="93">
        <v>21</v>
      </c>
      <c r="AO2434" s="93">
        <f>H2434*0.811571906</f>
        <v>0</v>
      </c>
      <c r="AP2434" s="93">
        <f>H2434*(1-0.811571906)</f>
        <v>0</v>
      </c>
      <c r="AQ2434" s="94" t="s">
        <v>148</v>
      </c>
      <c r="AV2434" s="93">
        <f>AW2434+AX2434</f>
        <v>0</v>
      </c>
      <c r="AW2434" s="93">
        <f>G2434*AO2434</f>
        <v>0</v>
      </c>
      <c r="AX2434" s="93">
        <f>G2434*AP2434</f>
        <v>0</v>
      </c>
      <c r="AY2434" s="94" t="s">
        <v>3131</v>
      </c>
      <c r="AZ2434" s="94" t="s">
        <v>2927</v>
      </c>
      <c r="BA2434" s="88" t="s">
        <v>67</v>
      </c>
      <c r="BC2434" s="93">
        <f>AW2434+AX2434</f>
        <v>0</v>
      </c>
      <c r="BD2434" s="93">
        <f>H2434/(100-BE2434)*100</f>
        <v>0</v>
      </c>
      <c r="BE2434" s="93">
        <v>0</v>
      </c>
      <c r="BF2434" s="93">
        <f>O2434</f>
        <v>8.5679999999999992E-2</v>
      </c>
      <c r="BH2434" s="93">
        <f>G2434*AO2434</f>
        <v>0</v>
      </c>
      <c r="BI2434" s="93">
        <f>G2434*AP2434</f>
        <v>0</v>
      </c>
      <c r="BJ2434" s="93">
        <f>G2434*H2434</f>
        <v>0</v>
      </c>
      <c r="BK2434" s="93"/>
      <c r="BL2434" s="93"/>
      <c r="BW2434" s="93" t="str">
        <f>I2434</f>
        <v>21</v>
      </c>
      <c r="BX2434" s="2" t="s">
        <v>3263</v>
      </c>
    </row>
    <row r="2435" spans="1:76" s="81" customFormat="1" ht="25.5" x14ac:dyDescent="0.25">
      <c r="A2435" s="66" t="s">
        <v>3276</v>
      </c>
      <c r="B2435" s="72" t="s">
        <v>55</v>
      </c>
      <c r="C2435" s="72" t="s">
        <v>3265</v>
      </c>
      <c r="D2435" s="174" t="s">
        <v>3266</v>
      </c>
      <c r="E2435" s="174"/>
      <c r="F2435" s="72" t="s">
        <v>203</v>
      </c>
      <c r="G2435" s="90">
        <v>30</v>
      </c>
      <c r="H2435" s="91"/>
      <c r="I2435" s="92" t="s">
        <v>63</v>
      </c>
      <c r="J2435" s="90">
        <f>G2435*AO2435</f>
        <v>0</v>
      </c>
      <c r="K2435" s="90">
        <f>G2435*AP2435</f>
        <v>0</v>
      </c>
      <c r="L2435" s="90">
        <f>G2435*H2435</f>
        <v>0</v>
      </c>
      <c r="M2435" s="90">
        <f>L2435*(1+BW2435/100)</f>
        <v>0</v>
      </c>
      <c r="N2435" s="90">
        <v>0</v>
      </c>
      <c r="O2435" s="90">
        <f>G2435*N2435</f>
        <v>0</v>
      </c>
      <c r="P2435" s="92" t="s">
        <v>64</v>
      </c>
      <c r="Z2435" s="93">
        <f>IF(AQ2435="5",BJ2435,0)</f>
        <v>0</v>
      </c>
      <c r="AB2435" s="93">
        <f>IF(AQ2435="1",BH2435,0)</f>
        <v>0</v>
      </c>
      <c r="AC2435" s="93">
        <f>IF(AQ2435="1",BI2435,0)</f>
        <v>0</v>
      </c>
      <c r="AD2435" s="93">
        <f>IF(AQ2435="7",BH2435,0)</f>
        <v>0</v>
      </c>
      <c r="AE2435" s="93">
        <f>IF(AQ2435="7",BI2435,0)</f>
        <v>0</v>
      </c>
      <c r="AF2435" s="93">
        <f>IF(AQ2435="2",BH2435,0)</f>
        <v>0</v>
      </c>
      <c r="AG2435" s="93">
        <f>IF(AQ2435="2",BI2435,0)</f>
        <v>0</v>
      </c>
      <c r="AH2435" s="93">
        <f>IF(AQ2435="0",BJ2435,0)</f>
        <v>0</v>
      </c>
      <c r="AI2435" s="88" t="s">
        <v>55</v>
      </c>
      <c r="AJ2435" s="93">
        <f>IF(AN2435=0,L2435,0)</f>
        <v>0</v>
      </c>
      <c r="AK2435" s="93">
        <f>IF(AN2435=12,L2435,0)</f>
        <v>0</v>
      </c>
      <c r="AL2435" s="93">
        <f>IF(AN2435=21,L2435,0)</f>
        <v>0</v>
      </c>
      <c r="AN2435" s="93">
        <v>21</v>
      </c>
      <c r="AO2435" s="93">
        <f>H2435*0</f>
        <v>0</v>
      </c>
      <c r="AP2435" s="93">
        <f>H2435*(1-0)</f>
        <v>0</v>
      </c>
      <c r="AQ2435" s="94" t="s">
        <v>148</v>
      </c>
      <c r="AV2435" s="93">
        <f>AW2435+AX2435</f>
        <v>0</v>
      </c>
      <c r="AW2435" s="93">
        <f>G2435*AO2435</f>
        <v>0</v>
      </c>
      <c r="AX2435" s="93">
        <f>G2435*AP2435</f>
        <v>0</v>
      </c>
      <c r="AY2435" s="94" t="s">
        <v>3131</v>
      </c>
      <c r="AZ2435" s="94" t="s">
        <v>2927</v>
      </c>
      <c r="BA2435" s="88" t="s">
        <v>67</v>
      </c>
      <c r="BC2435" s="93">
        <f>AW2435+AX2435</f>
        <v>0</v>
      </c>
      <c r="BD2435" s="93">
        <f>H2435/(100-BE2435)*100</f>
        <v>0</v>
      </c>
      <c r="BE2435" s="93">
        <v>0</v>
      </c>
      <c r="BF2435" s="93">
        <f>O2435</f>
        <v>0</v>
      </c>
      <c r="BH2435" s="93">
        <f>G2435*AO2435</f>
        <v>0</v>
      </c>
      <c r="BI2435" s="93">
        <f>G2435*AP2435</f>
        <v>0</v>
      </c>
      <c r="BJ2435" s="93">
        <f>G2435*H2435</f>
        <v>0</v>
      </c>
      <c r="BK2435" s="93"/>
      <c r="BL2435" s="93"/>
      <c r="BW2435" s="93" t="str">
        <f>I2435</f>
        <v>21</v>
      </c>
      <c r="BX2435" s="2" t="s">
        <v>3266</v>
      </c>
    </row>
    <row r="2436" spans="1:76" s="81" customFormat="1" x14ac:dyDescent="0.25">
      <c r="A2436" s="110"/>
      <c r="B2436" s="95"/>
      <c r="C2436" s="95"/>
      <c r="D2436" s="76" t="s">
        <v>3267</v>
      </c>
      <c r="E2436" s="76" t="s">
        <v>54</v>
      </c>
      <c r="F2436" s="95"/>
      <c r="G2436" s="96">
        <v>30</v>
      </c>
      <c r="H2436" s="95"/>
      <c r="I2436" s="95"/>
      <c r="J2436" s="95"/>
      <c r="K2436" s="95"/>
      <c r="L2436" s="95"/>
      <c r="M2436" s="95"/>
      <c r="N2436" s="95"/>
      <c r="O2436" s="95"/>
      <c r="P2436" s="95"/>
    </row>
    <row r="2437" spans="1:76" s="81" customFormat="1" ht="25.5" x14ac:dyDescent="0.25">
      <c r="A2437" s="66" t="s">
        <v>3280</v>
      </c>
      <c r="B2437" s="72" t="s">
        <v>55</v>
      </c>
      <c r="C2437" s="72" t="s">
        <v>3269</v>
      </c>
      <c r="D2437" s="174" t="s">
        <v>3270</v>
      </c>
      <c r="E2437" s="174"/>
      <c r="F2437" s="72" t="s">
        <v>203</v>
      </c>
      <c r="G2437" s="90">
        <v>11</v>
      </c>
      <c r="H2437" s="91"/>
      <c r="I2437" s="92" t="s">
        <v>63</v>
      </c>
      <c r="J2437" s="90">
        <f>G2437*AO2437</f>
        <v>0</v>
      </c>
      <c r="K2437" s="90">
        <f>G2437*AP2437</f>
        <v>0</v>
      </c>
      <c r="L2437" s="90">
        <f>G2437*H2437</f>
        <v>0</v>
      </c>
      <c r="M2437" s="90">
        <f>L2437*(1+BW2437/100)</f>
        <v>0</v>
      </c>
      <c r="N2437" s="90">
        <v>0</v>
      </c>
      <c r="O2437" s="90">
        <f>G2437*N2437</f>
        <v>0</v>
      </c>
      <c r="P2437" s="92" t="s">
        <v>64</v>
      </c>
      <c r="Z2437" s="93">
        <f>IF(AQ2437="5",BJ2437,0)</f>
        <v>0</v>
      </c>
      <c r="AB2437" s="93">
        <f>IF(AQ2437="1",BH2437,0)</f>
        <v>0</v>
      </c>
      <c r="AC2437" s="93">
        <f>IF(AQ2437="1",BI2437,0)</f>
        <v>0</v>
      </c>
      <c r="AD2437" s="93">
        <f>IF(AQ2437="7",BH2437,0)</f>
        <v>0</v>
      </c>
      <c r="AE2437" s="93">
        <f>IF(AQ2437="7",BI2437,0)</f>
        <v>0</v>
      </c>
      <c r="AF2437" s="93">
        <f>IF(AQ2437="2",BH2437,0)</f>
        <v>0</v>
      </c>
      <c r="AG2437" s="93">
        <f>IF(AQ2437="2",BI2437,0)</f>
        <v>0</v>
      </c>
      <c r="AH2437" s="93">
        <f>IF(AQ2437="0",BJ2437,0)</f>
        <v>0</v>
      </c>
      <c r="AI2437" s="88" t="s">
        <v>55</v>
      </c>
      <c r="AJ2437" s="93">
        <f>IF(AN2437=0,L2437,0)</f>
        <v>0</v>
      </c>
      <c r="AK2437" s="93">
        <f>IF(AN2437=12,L2437,0)</f>
        <v>0</v>
      </c>
      <c r="AL2437" s="93">
        <f>IF(AN2437=21,L2437,0)</f>
        <v>0</v>
      </c>
      <c r="AN2437" s="93">
        <v>21</v>
      </c>
      <c r="AO2437" s="93">
        <f>H2437*0</f>
        <v>0</v>
      </c>
      <c r="AP2437" s="93">
        <f>H2437*(1-0)</f>
        <v>0</v>
      </c>
      <c r="AQ2437" s="94" t="s">
        <v>148</v>
      </c>
      <c r="AV2437" s="93">
        <f>AW2437+AX2437</f>
        <v>0</v>
      </c>
      <c r="AW2437" s="93">
        <f>G2437*AO2437</f>
        <v>0</v>
      </c>
      <c r="AX2437" s="93">
        <f>G2437*AP2437</f>
        <v>0</v>
      </c>
      <c r="AY2437" s="94" t="s">
        <v>3131</v>
      </c>
      <c r="AZ2437" s="94" t="s">
        <v>2927</v>
      </c>
      <c r="BA2437" s="88" t="s">
        <v>67</v>
      </c>
      <c r="BC2437" s="93">
        <f>AW2437+AX2437</f>
        <v>0</v>
      </c>
      <c r="BD2437" s="93">
        <f>H2437/(100-BE2437)*100</f>
        <v>0</v>
      </c>
      <c r="BE2437" s="93">
        <v>0</v>
      </c>
      <c r="BF2437" s="93">
        <f>O2437</f>
        <v>0</v>
      </c>
      <c r="BH2437" s="93">
        <f>G2437*AO2437</f>
        <v>0</v>
      </c>
      <c r="BI2437" s="93">
        <f>G2437*AP2437</f>
        <v>0</v>
      </c>
      <c r="BJ2437" s="93">
        <f>G2437*H2437</f>
        <v>0</v>
      </c>
      <c r="BK2437" s="93"/>
      <c r="BL2437" s="93"/>
      <c r="BW2437" s="93" t="str">
        <f>I2437</f>
        <v>21</v>
      </c>
      <c r="BX2437" s="2" t="s">
        <v>3270</v>
      </c>
    </row>
    <row r="2438" spans="1:76" s="81" customFormat="1" x14ac:dyDescent="0.25">
      <c r="A2438" s="110"/>
      <c r="B2438" s="95"/>
      <c r="C2438" s="95"/>
      <c r="D2438" s="76" t="s">
        <v>3271</v>
      </c>
      <c r="E2438" s="76" t="s">
        <v>54</v>
      </c>
      <c r="F2438" s="95"/>
      <c r="G2438" s="96">
        <v>11</v>
      </c>
      <c r="H2438" s="95"/>
      <c r="I2438" s="95"/>
      <c r="J2438" s="95"/>
      <c r="K2438" s="95"/>
      <c r="L2438" s="95"/>
      <c r="M2438" s="95"/>
      <c r="N2438" s="95"/>
      <c r="O2438" s="95"/>
      <c r="P2438" s="95"/>
    </row>
    <row r="2439" spans="1:76" s="81" customFormat="1" ht="25.5" x14ac:dyDescent="0.25">
      <c r="A2439" s="66" t="s">
        <v>3283</v>
      </c>
      <c r="B2439" s="72" t="s">
        <v>55</v>
      </c>
      <c r="C2439" s="72" t="s">
        <v>3273</v>
      </c>
      <c r="D2439" s="174" t="s">
        <v>3274</v>
      </c>
      <c r="E2439" s="174"/>
      <c r="F2439" s="72" t="s">
        <v>203</v>
      </c>
      <c r="G2439" s="90">
        <v>9</v>
      </c>
      <c r="H2439" s="91"/>
      <c r="I2439" s="92" t="s">
        <v>63</v>
      </c>
      <c r="J2439" s="90">
        <f>G2439*AO2439</f>
        <v>0</v>
      </c>
      <c r="K2439" s="90">
        <f>G2439*AP2439</f>
        <v>0</v>
      </c>
      <c r="L2439" s="90">
        <f>G2439*H2439</f>
        <v>0</v>
      </c>
      <c r="M2439" s="90">
        <f>L2439*(1+BW2439/100)</f>
        <v>0</v>
      </c>
      <c r="N2439" s="90">
        <v>4.8999999999999998E-4</v>
      </c>
      <c r="O2439" s="90">
        <f>G2439*N2439</f>
        <v>4.4099999999999999E-3</v>
      </c>
      <c r="P2439" s="92" t="s">
        <v>64</v>
      </c>
      <c r="Z2439" s="93">
        <f>IF(AQ2439="5",BJ2439,0)</f>
        <v>0</v>
      </c>
      <c r="AB2439" s="93">
        <f>IF(AQ2439="1",BH2439,0)</f>
        <v>0</v>
      </c>
      <c r="AC2439" s="93">
        <f>IF(AQ2439="1",BI2439,0)</f>
        <v>0</v>
      </c>
      <c r="AD2439" s="93">
        <f>IF(AQ2439="7",BH2439,0)</f>
        <v>0</v>
      </c>
      <c r="AE2439" s="93">
        <f>IF(AQ2439="7",BI2439,0)</f>
        <v>0</v>
      </c>
      <c r="AF2439" s="93">
        <f>IF(AQ2439="2",BH2439,0)</f>
        <v>0</v>
      </c>
      <c r="AG2439" s="93">
        <f>IF(AQ2439="2",BI2439,0)</f>
        <v>0</v>
      </c>
      <c r="AH2439" s="93">
        <f>IF(AQ2439="0",BJ2439,0)</f>
        <v>0</v>
      </c>
      <c r="AI2439" s="88" t="s">
        <v>55</v>
      </c>
      <c r="AJ2439" s="93">
        <f>IF(AN2439=0,L2439,0)</f>
        <v>0</v>
      </c>
      <c r="AK2439" s="93">
        <f>IF(AN2439=12,L2439,0)</f>
        <v>0</v>
      </c>
      <c r="AL2439" s="93">
        <f>IF(AN2439=21,L2439,0)</f>
        <v>0</v>
      </c>
      <c r="AN2439" s="93">
        <v>21</v>
      </c>
      <c r="AO2439" s="93">
        <f>H2439*0.959427391</f>
        <v>0</v>
      </c>
      <c r="AP2439" s="93">
        <f>H2439*(1-0.959427391)</f>
        <v>0</v>
      </c>
      <c r="AQ2439" s="94" t="s">
        <v>148</v>
      </c>
      <c r="AV2439" s="93">
        <f>AW2439+AX2439</f>
        <v>0</v>
      </c>
      <c r="AW2439" s="93">
        <f>G2439*AO2439</f>
        <v>0</v>
      </c>
      <c r="AX2439" s="93">
        <f>G2439*AP2439</f>
        <v>0</v>
      </c>
      <c r="AY2439" s="94" t="s">
        <v>3131</v>
      </c>
      <c r="AZ2439" s="94" t="s">
        <v>2927</v>
      </c>
      <c r="BA2439" s="88" t="s">
        <v>67</v>
      </c>
      <c r="BC2439" s="93">
        <f>AW2439+AX2439</f>
        <v>0</v>
      </c>
      <c r="BD2439" s="93">
        <f>H2439/(100-BE2439)*100</f>
        <v>0</v>
      </c>
      <c r="BE2439" s="93">
        <v>0</v>
      </c>
      <c r="BF2439" s="93">
        <f>O2439</f>
        <v>4.4099999999999999E-3</v>
      </c>
      <c r="BH2439" s="93">
        <f>G2439*AO2439</f>
        <v>0</v>
      </c>
      <c r="BI2439" s="93">
        <f>G2439*AP2439</f>
        <v>0</v>
      </c>
      <c r="BJ2439" s="93">
        <f>G2439*H2439</f>
        <v>0</v>
      </c>
      <c r="BK2439" s="93"/>
      <c r="BL2439" s="93"/>
      <c r="BW2439" s="93" t="str">
        <f>I2439</f>
        <v>21</v>
      </c>
      <c r="BX2439" s="2" t="s">
        <v>3274</v>
      </c>
    </row>
    <row r="2440" spans="1:76" s="81" customFormat="1" ht="13.5" customHeight="1" x14ac:dyDescent="0.25">
      <c r="A2440" s="110"/>
      <c r="B2440" s="95"/>
      <c r="C2440" s="95"/>
      <c r="D2440" s="179" t="s">
        <v>3275</v>
      </c>
      <c r="E2440" s="179"/>
      <c r="F2440" s="179"/>
      <c r="G2440" s="179"/>
      <c r="H2440" s="179"/>
      <c r="I2440" s="179"/>
      <c r="J2440" s="179"/>
      <c r="K2440" s="179"/>
      <c r="L2440" s="179"/>
      <c r="M2440" s="179"/>
      <c r="N2440" s="179"/>
      <c r="O2440" s="179"/>
      <c r="P2440" s="179"/>
    </row>
    <row r="2441" spans="1:76" s="81" customFormat="1" ht="25.5" x14ac:dyDescent="0.25">
      <c r="A2441" s="66" t="s">
        <v>3287</v>
      </c>
      <c r="B2441" s="72" t="s">
        <v>55</v>
      </c>
      <c r="C2441" s="72" t="s">
        <v>3277</v>
      </c>
      <c r="D2441" s="174" t="s">
        <v>3278</v>
      </c>
      <c r="E2441" s="174"/>
      <c r="F2441" s="72" t="s">
        <v>203</v>
      </c>
      <c r="G2441" s="90">
        <v>1</v>
      </c>
      <c r="H2441" s="91"/>
      <c r="I2441" s="92" t="s">
        <v>63</v>
      </c>
      <c r="J2441" s="90">
        <f>G2441*AO2441</f>
        <v>0</v>
      </c>
      <c r="K2441" s="90">
        <f>G2441*AP2441</f>
        <v>0</v>
      </c>
      <c r="L2441" s="90">
        <f>G2441*H2441</f>
        <v>0</v>
      </c>
      <c r="M2441" s="90">
        <f>L2441*(1+BW2441/100)</f>
        <v>0</v>
      </c>
      <c r="N2441" s="90">
        <v>1.2999999999999999E-4</v>
      </c>
      <c r="O2441" s="90">
        <f>G2441*N2441</f>
        <v>1.2999999999999999E-4</v>
      </c>
      <c r="P2441" s="92" t="s">
        <v>64</v>
      </c>
      <c r="Z2441" s="93">
        <f>IF(AQ2441="5",BJ2441,0)</f>
        <v>0</v>
      </c>
      <c r="AB2441" s="93">
        <f>IF(AQ2441="1",BH2441,0)</f>
        <v>0</v>
      </c>
      <c r="AC2441" s="93">
        <f>IF(AQ2441="1",BI2441,0)</f>
        <v>0</v>
      </c>
      <c r="AD2441" s="93">
        <f>IF(AQ2441="7",BH2441,0)</f>
        <v>0</v>
      </c>
      <c r="AE2441" s="93">
        <f>IF(AQ2441="7",BI2441,0)</f>
        <v>0</v>
      </c>
      <c r="AF2441" s="93">
        <f>IF(AQ2441="2",BH2441,0)</f>
        <v>0</v>
      </c>
      <c r="AG2441" s="93">
        <f>IF(AQ2441="2",BI2441,0)</f>
        <v>0</v>
      </c>
      <c r="AH2441" s="93">
        <f>IF(AQ2441="0",BJ2441,0)</f>
        <v>0</v>
      </c>
      <c r="AI2441" s="88" t="s">
        <v>55</v>
      </c>
      <c r="AJ2441" s="93">
        <f>IF(AN2441=0,L2441,0)</f>
        <v>0</v>
      </c>
      <c r="AK2441" s="93">
        <f>IF(AN2441=12,L2441,0)</f>
        <v>0</v>
      </c>
      <c r="AL2441" s="93">
        <f>IF(AN2441=21,L2441,0)</f>
        <v>0</v>
      </c>
      <c r="AN2441" s="93">
        <v>21</v>
      </c>
      <c r="AO2441" s="93">
        <f>H2441*0.859632953</f>
        <v>0</v>
      </c>
      <c r="AP2441" s="93">
        <f>H2441*(1-0.859632953)</f>
        <v>0</v>
      </c>
      <c r="AQ2441" s="94" t="s">
        <v>148</v>
      </c>
      <c r="AV2441" s="93">
        <f>AW2441+AX2441</f>
        <v>0</v>
      </c>
      <c r="AW2441" s="93">
        <f>G2441*AO2441</f>
        <v>0</v>
      </c>
      <c r="AX2441" s="93">
        <f>G2441*AP2441</f>
        <v>0</v>
      </c>
      <c r="AY2441" s="94" t="s">
        <v>3131</v>
      </c>
      <c r="AZ2441" s="94" t="s">
        <v>2927</v>
      </c>
      <c r="BA2441" s="88" t="s">
        <v>67</v>
      </c>
      <c r="BC2441" s="93">
        <f>AW2441+AX2441</f>
        <v>0</v>
      </c>
      <c r="BD2441" s="93">
        <f>H2441/(100-BE2441)*100</f>
        <v>0</v>
      </c>
      <c r="BE2441" s="93">
        <v>0</v>
      </c>
      <c r="BF2441" s="93">
        <f>O2441</f>
        <v>1.2999999999999999E-4</v>
      </c>
      <c r="BH2441" s="93">
        <f>G2441*AO2441</f>
        <v>0</v>
      </c>
      <c r="BI2441" s="93">
        <f>G2441*AP2441</f>
        <v>0</v>
      </c>
      <c r="BJ2441" s="93">
        <f>G2441*H2441</f>
        <v>0</v>
      </c>
      <c r="BK2441" s="93"/>
      <c r="BL2441" s="93"/>
      <c r="BW2441" s="93" t="str">
        <f>I2441</f>
        <v>21</v>
      </c>
      <c r="BX2441" s="2" t="s">
        <v>3278</v>
      </c>
    </row>
    <row r="2442" spans="1:76" s="81" customFormat="1" ht="13.5" customHeight="1" x14ac:dyDescent="0.25">
      <c r="A2442" s="110"/>
      <c r="B2442" s="95"/>
      <c r="C2442" s="95"/>
      <c r="D2442" s="179" t="s">
        <v>3279</v>
      </c>
      <c r="E2442" s="179"/>
      <c r="F2442" s="179"/>
      <c r="G2442" s="179"/>
      <c r="H2442" s="179"/>
      <c r="I2442" s="179"/>
      <c r="J2442" s="179"/>
      <c r="K2442" s="179"/>
      <c r="L2442" s="179"/>
      <c r="M2442" s="179"/>
      <c r="N2442" s="179"/>
      <c r="O2442" s="179"/>
      <c r="P2442" s="179"/>
    </row>
    <row r="2443" spans="1:76" s="81" customFormat="1" ht="25.5" x14ac:dyDescent="0.25">
      <c r="A2443" s="66" t="s">
        <v>3291</v>
      </c>
      <c r="B2443" s="72" t="s">
        <v>55</v>
      </c>
      <c r="C2443" s="72" t="s">
        <v>3281</v>
      </c>
      <c r="D2443" s="174" t="s">
        <v>3278</v>
      </c>
      <c r="E2443" s="174"/>
      <c r="F2443" s="72" t="s">
        <v>203</v>
      </c>
      <c r="G2443" s="90">
        <v>7</v>
      </c>
      <c r="H2443" s="91"/>
      <c r="I2443" s="92" t="s">
        <v>63</v>
      </c>
      <c r="J2443" s="90">
        <f>G2443*AO2443</f>
        <v>0</v>
      </c>
      <c r="K2443" s="90">
        <f>G2443*AP2443</f>
        <v>0</v>
      </c>
      <c r="L2443" s="90">
        <f>G2443*H2443</f>
        <v>0</v>
      </c>
      <c r="M2443" s="90">
        <f>L2443*(1+BW2443/100)</f>
        <v>0</v>
      </c>
      <c r="N2443" s="90">
        <v>2.7E-4</v>
      </c>
      <c r="O2443" s="90">
        <f>G2443*N2443</f>
        <v>1.89E-3</v>
      </c>
      <c r="P2443" s="92" t="s">
        <v>64</v>
      </c>
      <c r="Z2443" s="93">
        <f>IF(AQ2443="5",BJ2443,0)</f>
        <v>0</v>
      </c>
      <c r="AB2443" s="93">
        <f>IF(AQ2443="1",BH2443,0)</f>
        <v>0</v>
      </c>
      <c r="AC2443" s="93">
        <f>IF(AQ2443="1",BI2443,0)</f>
        <v>0</v>
      </c>
      <c r="AD2443" s="93">
        <f>IF(AQ2443="7",BH2443,0)</f>
        <v>0</v>
      </c>
      <c r="AE2443" s="93">
        <f>IF(AQ2443="7",BI2443,0)</f>
        <v>0</v>
      </c>
      <c r="AF2443" s="93">
        <f>IF(AQ2443="2",BH2443,0)</f>
        <v>0</v>
      </c>
      <c r="AG2443" s="93">
        <f>IF(AQ2443="2",BI2443,0)</f>
        <v>0</v>
      </c>
      <c r="AH2443" s="93">
        <f>IF(AQ2443="0",BJ2443,0)</f>
        <v>0</v>
      </c>
      <c r="AI2443" s="88" t="s">
        <v>55</v>
      </c>
      <c r="AJ2443" s="93">
        <f>IF(AN2443=0,L2443,0)</f>
        <v>0</v>
      </c>
      <c r="AK2443" s="93">
        <f>IF(AN2443=12,L2443,0)</f>
        <v>0</v>
      </c>
      <c r="AL2443" s="93">
        <f>IF(AN2443=21,L2443,0)</f>
        <v>0</v>
      </c>
      <c r="AN2443" s="93">
        <v>21</v>
      </c>
      <c r="AO2443" s="93">
        <f>H2443*0.822952675</f>
        <v>0</v>
      </c>
      <c r="AP2443" s="93">
        <f>H2443*(1-0.822952675)</f>
        <v>0</v>
      </c>
      <c r="AQ2443" s="94" t="s">
        <v>148</v>
      </c>
      <c r="AV2443" s="93">
        <f>AW2443+AX2443</f>
        <v>0</v>
      </c>
      <c r="AW2443" s="93">
        <f>G2443*AO2443</f>
        <v>0</v>
      </c>
      <c r="AX2443" s="93">
        <f>G2443*AP2443</f>
        <v>0</v>
      </c>
      <c r="AY2443" s="94" t="s">
        <v>3131</v>
      </c>
      <c r="AZ2443" s="94" t="s">
        <v>2927</v>
      </c>
      <c r="BA2443" s="88" t="s">
        <v>67</v>
      </c>
      <c r="BC2443" s="93">
        <f>AW2443+AX2443</f>
        <v>0</v>
      </c>
      <c r="BD2443" s="93">
        <f>H2443/(100-BE2443)*100</f>
        <v>0</v>
      </c>
      <c r="BE2443" s="93">
        <v>0</v>
      </c>
      <c r="BF2443" s="93">
        <f>O2443</f>
        <v>1.89E-3</v>
      </c>
      <c r="BH2443" s="93">
        <f>G2443*AO2443</f>
        <v>0</v>
      </c>
      <c r="BI2443" s="93">
        <f>G2443*AP2443</f>
        <v>0</v>
      </c>
      <c r="BJ2443" s="93">
        <f>G2443*H2443</f>
        <v>0</v>
      </c>
      <c r="BK2443" s="93"/>
      <c r="BL2443" s="93"/>
      <c r="BW2443" s="93" t="str">
        <f>I2443</f>
        <v>21</v>
      </c>
      <c r="BX2443" s="2" t="s">
        <v>3278</v>
      </c>
    </row>
    <row r="2444" spans="1:76" s="81" customFormat="1" ht="13.5" customHeight="1" x14ac:dyDescent="0.25">
      <c r="A2444" s="110"/>
      <c r="B2444" s="95"/>
      <c r="C2444" s="95"/>
      <c r="D2444" s="179" t="s">
        <v>3282</v>
      </c>
      <c r="E2444" s="179"/>
      <c r="F2444" s="179"/>
      <c r="G2444" s="179"/>
      <c r="H2444" s="179"/>
      <c r="I2444" s="179"/>
      <c r="J2444" s="179"/>
      <c r="K2444" s="179"/>
      <c r="L2444" s="179"/>
      <c r="M2444" s="179"/>
      <c r="N2444" s="179"/>
      <c r="O2444" s="179"/>
      <c r="P2444" s="179"/>
    </row>
    <row r="2445" spans="1:76" s="81" customFormat="1" ht="25.5" x14ac:dyDescent="0.25">
      <c r="A2445" s="66" t="s">
        <v>3294</v>
      </c>
      <c r="B2445" s="72" t="s">
        <v>55</v>
      </c>
      <c r="C2445" s="72" t="s">
        <v>3284</v>
      </c>
      <c r="D2445" s="174" t="s">
        <v>3285</v>
      </c>
      <c r="E2445" s="174"/>
      <c r="F2445" s="72" t="s">
        <v>203</v>
      </c>
      <c r="G2445" s="90">
        <v>4</v>
      </c>
      <c r="H2445" s="91"/>
      <c r="I2445" s="92" t="s">
        <v>63</v>
      </c>
      <c r="J2445" s="90">
        <f>G2445*AO2445</f>
        <v>0</v>
      </c>
      <c r="K2445" s="90">
        <f>G2445*AP2445</f>
        <v>0</v>
      </c>
      <c r="L2445" s="90">
        <f>G2445*H2445</f>
        <v>0</v>
      </c>
      <c r="M2445" s="90">
        <f>L2445*(1+BW2445/100)</f>
        <v>0</v>
      </c>
      <c r="N2445" s="90">
        <v>1.24E-3</v>
      </c>
      <c r="O2445" s="90">
        <f>G2445*N2445</f>
        <v>4.96E-3</v>
      </c>
      <c r="P2445" s="92" t="s">
        <v>64</v>
      </c>
      <c r="Z2445" s="93">
        <f>IF(AQ2445="5",BJ2445,0)</f>
        <v>0</v>
      </c>
      <c r="AB2445" s="93">
        <f>IF(AQ2445="1",BH2445,0)</f>
        <v>0</v>
      </c>
      <c r="AC2445" s="93">
        <f>IF(AQ2445="1",BI2445,0)</f>
        <v>0</v>
      </c>
      <c r="AD2445" s="93">
        <f>IF(AQ2445="7",BH2445,0)</f>
        <v>0</v>
      </c>
      <c r="AE2445" s="93">
        <f>IF(AQ2445="7",BI2445,0)</f>
        <v>0</v>
      </c>
      <c r="AF2445" s="93">
        <f>IF(AQ2445="2",BH2445,0)</f>
        <v>0</v>
      </c>
      <c r="AG2445" s="93">
        <f>IF(AQ2445="2",BI2445,0)</f>
        <v>0</v>
      </c>
      <c r="AH2445" s="93">
        <f>IF(AQ2445="0",BJ2445,0)</f>
        <v>0</v>
      </c>
      <c r="AI2445" s="88" t="s">
        <v>55</v>
      </c>
      <c r="AJ2445" s="93">
        <f>IF(AN2445=0,L2445,0)</f>
        <v>0</v>
      </c>
      <c r="AK2445" s="93">
        <f>IF(AN2445=12,L2445,0)</f>
        <v>0</v>
      </c>
      <c r="AL2445" s="93">
        <f>IF(AN2445=21,L2445,0)</f>
        <v>0</v>
      </c>
      <c r="AN2445" s="93">
        <v>21</v>
      </c>
      <c r="AO2445" s="93">
        <f>H2445*0.940798599</f>
        <v>0</v>
      </c>
      <c r="AP2445" s="93">
        <f>H2445*(1-0.940798599)</f>
        <v>0</v>
      </c>
      <c r="AQ2445" s="94" t="s">
        <v>148</v>
      </c>
      <c r="AV2445" s="93">
        <f>AW2445+AX2445</f>
        <v>0</v>
      </c>
      <c r="AW2445" s="93">
        <f>G2445*AO2445</f>
        <v>0</v>
      </c>
      <c r="AX2445" s="93">
        <f>G2445*AP2445</f>
        <v>0</v>
      </c>
      <c r="AY2445" s="94" t="s">
        <v>3131</v>
      </c>
      <c r="AZ2445" s="94" t="s">
        <v>2927</v>
      </c>
      <c r="BA2445" s="88" t="s">
        <v>67</v>
      </c>
      <c r="BC2445" s="93">
        <f>AW2445+AX2445</f>
        <v>0</v>
      </c>
      <c r="BD2445" s="93">
        <f>H2445/(100-BE2445)*100</f>
        <v>0</v>
      </c>
      <c r="BE2445" s="93">
        <v>0</v>
      </c>
      <c r="BF2445" s="93">
        <f>O2445</f>
        <v>4.96E-3</v>
      </c>
      <c r="BH2445" s="93">
        <f>G2445*AO2445</f>
        <v>0</v>
      </c>
      <c r="BI2445" s="93">
        <f>G2445*AP2445</f>
        <v>0</v>
      </c>
      <c r="BJ2445" s="93">
        <f>G2445*H2445</f>
        <v>0</v>
      </c>
      <c r="BK2445" s="93"/>
      <c r="BL2445" s="93"/>
      <c r="BW2445" s="93" t="str">
        <f>I2445</f>
        <v>21</v>
      </c>
      <c r="BX2445" s="2" t="s">
        <v>3285</v>
      </c>
    </row>
    <row r="2446" spans="1:76" s="81" customFormat="1" ht="13.5" customHeight="1" x14ac:dyDescent="0.25">
      <c r="A2446" s="110"/>
      <c r="B2446" s="95"/>
      <c r="C2446" s="95"/>
      <c r="D2446" s="179" t="s">
        <v>3286</v>
      </c>
      <c r="E2446" s="179"/>
      <c r="F2446" s="179"/>
      <c r="G2446" s="179"/>
      <c r="H2446" s="179"/>
      <c r="I2446" s="179"/>
      <c r="J2446" s="179"/>
      <c r="K2446" s="179"/>
      <c r="L2446" s="179"/>
      <c r="M2446" s="179"/>
      <c r="N2446" s="179"/>
      <c r="O2446" s="179"/>
      <c r="P2446" s="179"/>
    </row>
    <row r="2447" spans="1:76" s="81" customFormat="1" ht="25.5" x14ac:dyDescent="0.25">
      <c r="A2447" s="66" t="s">
        <v>3298</v>
      </c>
      <c r="B2447" s="72" t="s">
        <v>55</v>
      </c>
      <c r="C2447" s="72" t="s">
        <v>3288</v>
      </c>
      <c r="D2447" s="174" t="s">
        <v>3289</v>
      </c>
      <c r="E2447" s="174"/>
      <c r="F2447" s="72" t="s">
        <v>203</v>
      </c>
      <c r="G2447" s="90">
        <v>14</v>
      </c>
      <c r="H2447" s="91"/>
      <c r="I2447" s="92" t="s">
        <v>63</v>
      </c>
      <c r="J2447" s="90">
        <f>G2447*AO2447</f>
        <v>0</v>
      </c>
      <c r="K2447" s="90">
        <f>G2447*AP2447</f>
        <v>0</v>
      </c>
      <c r="L2447" s="90">
        <f>G2447*H2447</f>
        <v>0</v>
      </c>
      <c r="M2447" s="90">
        <f>L2447*(1+BW2447/100)</f>
        <v>0</v>
      </c>
      <c r="N2447" s="90">
        <v>4.0000000000000002E-4</v>
      </c>
      <c r="O2447" s="90">
        <f>G2447*N2447</f>
        <v>5.5999999999999999E-3</v>
      </c>
      <c r="P2447" s="92" t="s">
        <v>64</v>
      </c>
      <c r="Z2447" s="93">
        <f>IF(AQ2447="5",BJ2447,0)</f>
        <v>0</v>
      </c>
      <c r="AB2447" s="93">
        <f>IF(AQ2447="1",BH2447,0)</f>
        <v>0</v>
      </c>
      <c r="AC2447" s="93">
        <f>IF(AQ2447="1",BI2447,0)</f>
        <v>0</v>
      </c>
      <c r="AD2447" s="93">
        <f>IF(AQ2447="7",BH2447,0)</f>
        <v>0</v>
      </c>
      <c r="AE2447" s="93">
        <f>IF(AQ2447="7",BI2447,0)</f>
        <v>0</v>
      </c>
      <c r="AF2447" s="93">
        <f>IF(AQ2447="2",BH2447,0)</f>
        <v>0</v>
      </c>
      <c r="AG2447" s="93">
        <f>IF(AQ2447="2",BI2447,0)</f>
        <v>0</v>
      </c>
      <c r="AH2447" s="93">
        <f>IF(AQ2447="0",BJ2447,0)</f>
        <v>0</v>
      </c>
      <c r="AI2447" s="88" t="s">
        <v>55</v>
      </c>
      <c r="AJ2447" s="93">
        <f>IF(AN2447=0,L2447,0)</f>
        <v>0</v>
      </c>
      <c r="AK2447" s="93">
        <f>IF(AN2447=12,L2447,0)</f>
        <v>0</v>
      </c>
      <c r="AL2447" s="93">
        <f>IF(AN2447=21,L2447,0)</f>
        <v>0</v>
      </c>
      <c r="AN2447" s="93">
        <v>21</v>
      </c>
      <c r="AO2447" s="93">
        <f>H2447*0.933246445</f>
        <v>0</v>
      </c>
      <c r="AP2447" s="93">
        <f>H2447*(1-0.933246445)</f>
        <v>0</v>
      </c>
      <c r="AQ2447" s="94" t="s">
        <v>148</v>
      </c>
      <c r="AV2447" s="93">
        <f>AW2447+AX2447</f>
        <v>0</v>
      </c>
      <c r="AW2447" s="93">
        <f>G2447*AO2447</f>
        <v>0</v>
      </c>
      <c r="AX2447" s="93">
        <f>G2447*AP2447</f>
        <v>0</v>
      </c>
      <c r="AY2447" s="94" t="s">
        <v>3131</v>
      </c>
      <c r="AZ2447" s="94" t="s">
        <v>2927</v>
      </c>
      <c r="BA2447" s="88" t="s">
        <v>67</v>
      </c>
      <c r="BC2447" s="93">
        <f>AW2447+AX2447</f>
        <v>0</v>
      </c>
      <c r="BD2447" s="93">
        <f>H2447/(100-BE2447)*100</f>
        <v>0</v>
      </c>
      <c r="BE2447" s="93">
        <v>0</v>
      </c>
      <c r="BF2447" s="93">
        <f>O2447</f>
        <v>5.5999999999999999E-3</v>
      </c>
      <c r="BH2447" s="93">
        <f>G2447*AO2447</f>
        <v>0</v>
      </c>
      <c r="BI2447" s="93">
        <f>G2447*AP2447</f>
        <v>0</v>
      </c>
      <c r="BJ2447" s="93">
        <f>G2447*H2447</f>
        <v>0</v>
      </c>
      <c r="BK2447" s="93"/>
      <c r="BL2447" s="93"/>
      <c r="BW2447" s="93" t="str">
        <f>I2447</f>
        <v>21</v>
      </c>
      <c r="BX2447" s="2" t="s">
        <v>3289</v>
      </c>
    </row>
    <row r="2448" spans="1:76" s="81" customFormat="1" x14ac:dyDescent="0.25">
      <c r="A2448" s="110"/>
      <c r="B2448" s="95"/>
      <c r="C2448" s="95"/>
      <c r="D2448" s="76" t="s">
        <v>3290</v>
      </c>
      <c r="E2448" s="76" t="s">
        <v>54</v>
      </c>
      <c r="F2448" s="95"/>
      <c r="G2448" s="96">
        <v>14</v>
      </c>
      <c r="H2448" s="95"/>
      <c r="I2448" s="95"/>
      <c r="J2448" s="95"/>
      <c r="K2448" s="95"/>
      <c r="L2448" s="95"/>
      <c r="M2448" s="95"/>
      <c r="N2448" s="95"/>
      <c r="O2448" s="95"/>
      <c r="P2448" s="95"/>
    </row>
    <row r="2449" spans="1:76" s="81" customFormat="1" ht="25.5" x14ac:dyDescent="0.25">
      <c r="A2449" s="66" t="s">
        <v>3301</v>
      </c>
      <c r="B2449" s="72" t="s">
        <v>55</v>
      </c>
      <c r="C2449" s="72" t="s">
        <v>3292</v>
      </c>
      <c r="D2449" s="174" t="s">
        <v>3293</v>
      </c>
      <c r="E2449" s="174"/>
      <c r="F2449" s="72" t="s">
        <v>203</v>
      </c>
      <c r="G2449" s="90">
        <v>14</v>
      </c>
      <c r="H2449" s="91"/>
      <c r="I2449" s="92" t="s">
        <v>63</v>
      </c>
      <c r="J2449" s="90">
        <f>G2449*AO2449</f>
        <v>0</v>
      </c>
      <c r="K2449" s="90">
        <f>G2449*AP2449</f>
        <v>0</v>
      </c>
      <c r="L2449" s="90">
        <f>G2449*H2449</f>
        <v>0</v>
      </c>
      <c r="M2449" s="90">
        <f>L2449*(1+BW2449/100)</f>
        <v>0</v>
      </c>
      <c r="N2449" s="90">
        <v>6.0000000000000001E-3</v>
      </c>
      <c r="O2449" s="90">
        <f>G2449*N2449</f>
        <v>8.4000000000000005E-2</v>
      </c>
      <c r="P2449" s="92" t="s">
        <v>64</v>
      </c>
      <c r="Z2449" s="93">
        <f>IF(AQ2449="5",BJ2449,0)</f>
        <v>0</v>
      </c>
      <c r="AB2449" s="93">
        <f>IF(AQ2449="1",BH2449,0)</f>
        <v>0</v>
      </c>
      <c r="AC2449" s="93">
        <f>IF(AQ2449="1",BI2449,0)</f>
        <v>0</v>
      </c>
      <c r="AD2449" s="93">
        <f>IF(AQ2449="7",BH2449,0)</f>
        <v>0</v>
      </c>
      <c r="AE2449" s="93">
        <f>IF(AQ2449="7",BI2449,0)</f>
        <v>0</v>
      </c>
      <c r="AF2449" s="93">
        <f>IF(AQ2449="2",BH2449,0)</f>
        <v>0</v>
      </c>
      <c r="AG2449" s="93">
        <f>IF(AQ2449="2",BI2449,0)</f>
        <v>0</v>
      </c>
      <c r="AH2449" s="93">
        <f>IF(AQ2449="0",BJ2449,0)</f>
        <v>0</v>
      </c>
      <c r="AI2449" s="88" t="s">
        <v>55</v>
      </c>
      <c r="AJ2449" s="93">
        <f>IF(AN2449=0,L2449,0)</f>
        <v>0</v>
      </c>
      <c r="AK2449" s="93">
        <f>IF(AN2449=12,L2449,0)</f>
        <v>0</v>
      </c>
      <c r="AL2449" s="93">
        <f>IF(AN2449=21,L2449,0)</f>
        <v>0</v>
      </c>
      <c r="AN2449" s="93">
        <v>21</v>
      </c>
      <c r="AO2449" s="93">
        <f>H2449*0.993009926</f>
        <v>0</v>
      </c>
      <c r="AP2449" s="93">
        <f>H2449*(1-0.993009926)</f>
        <v>0</v>
      </c>
      <c r="AQ2449" s="94" t="s">
        <v>148</v>
      </c>
      <c r="AV2449" s="93">
        <f>AW2449+AX2449</f>
        <v>0</v>
      </c>
      <c r="AW2449" s="93">
        <f>G2449*AO2449</f>
        <v>0</v>
      </c>
      <c r="AX2449" s="93">
        <f>G2449*AP2449</f>
        <v>0</v>
      </c>
      <c r="AY2449" s="94" t="s">
        <v>3131</v>
      </c>
      <c r="AZ2449" s="94" t="s">
        <v>2927</v>
      </c>
      <c r="BA2449" s="88" t="s">
        <v>67</v>
      </c>
      <c r="BC2449" s="93">
        <f>AW2449+AX2449</f>
        <v>0</v>
      </c>
      <c r="BD2449" s="93">
        <f>H2449/(100-BE2449)*100</f>
        <v>0</v>
      </c>
      <c r="BE2449" s="93">
        <v>0</v>
      </c>
      <c r="BF2449" s="93">
        <f>O2449</f>
        <v>8.4000000000000005E-2</v>
      </c>
      <c r="BH2449" s="93">
        <f>G2449*AO2449</f>
        <v>0</v>
      </c>
      <c r="BI2449" s="93">
        <f>G2449*AP2449</f>
        <v>0</v>
      </c>
      <c r="BJ2449" s="93">
        <f>G2449*H2449</f>
        <v>0</v>
      </c>
      <c r="BK2449" s="93"/>
      <c r="BL2449" s="93"/>
      <c r="BW2449" s="93" t="str">
        <f>I2449</f>
        <v>21</v>
      </c>
      <c r="BX2449" s="2" t="s">
        <v>3293</v>
      </c>
    </row>
    <row r="2450" spans="1:76" s="81" customFormat="1" ht="13.5" customHeight="1" x14ac:dyDescent="0.25">
      <c r="A2450" s="110"/>
      <c r="B2450" s="95"/>
      <c r="C2450" s="95"/>
      <c r="D2450" s="179" t="s">
        <v>4282</v>
      </c>
      <c r="E2450" s="179"/>
      <c r="F2450" s="179"/>
      <c r="G2450" s="179"/>
      <c r="H2450" s="179"/>
      <c r="I2450" s="179"/>
      <c r="J2450" s="179"/>
      <c r="K2450" s="179"/>
      <c r="L2450" s="179"/>
      <c r="M2450" s="179"/>
      <c r="N2450" s="179"/>
      <c r="O2450" s="179"/>
      <c r="P2450" s="179"/>
    </row>
    <row r="2451" spans="1:76" s="81" customFormat="1" ht="25.5" x14ac:dyDescent="0.25">
      <c r="A2451" s="66" t="s">
        <v>3305</v>
      </c>
      <c r="B2451" s="72" t="s">
        <v>55</v>
      </c>
      <c r="C2451" s="72" t="s">
        <v>3295</v>
      </c>
      <c r="D2451" s="174" t="s">
        <v>3296</v>
      </c>
      <c r="E2451" s="174"/>
      <c r="F2451" s="72" t="s">
        <v>203</v>
      </c>
      <c r="G2451" s="90">
        <v>14</v>
      </c>
      <c r="H2451" s="91"/>
      <c r="I2451" s="92" t="s">
        <v>63</v>
      </c>
      <c r="J2451" s="90">
        <f>G2451*AO2451</f>
        <v>0</v>
      </c>
      <c r="K2451" s="90">
        <f>G2451*AP2451</f>
        <v>0</v>
      </c>
      <c r="L2451" s="90">
        <f>G2451*H2451</f>
        <v>0</v>
      </c>
      <c r="M2451" s="90">
        <f>L2451*(1+BW2451/100)</f>
        <v>0</v>
      </c>
      <c r="N2451" s="90">
        <v>2.2200000000000002E-3</v>
      </c>
      <c r="O2451" s="90">
        <f>G2451*N2451</f>
        <v>3.1080000000000003E-2</v>
      </c>
      <c r="P2451" s="92" t="s">
        <v>64</v>
      </c>
      <c r="Z2451" s="93">
        <f>IF(AQ2451="5",BJ2451,0)</f>
        <v>0</v>
      </c>
      <c r="AB2451" s="93">
        <f>IF(AQ2451="1",BH2451,0)</f>
        <v>0</v>
      </c>
      <c r="AC2451" s="93">
        <f>IF(AQ2451="1",BI2451,0)</f>
        <v>0</v>
      </c>
      <c r="AD2451" s="93">
        <f>IF(AQ2451="7",BH2451,0)</f>
        <v>0</v>
      </c>
      <c r="AE2451" s="93">
        <f>IF(AQ2451="7",BI2451,0)</f>
        <v>0</v>
      </c>
      <c r="AF2451" s="93">
        <f>IF(AQ2451="2",BH2451,0)</f>
        <v>0</v>
      </c>
      <c r="AG2451" s="93">
        <f>IF(AQ2451="2",BI2451,0)</f>
        <v>0</v>
      </c>
      <c r="AH2451" s="93">
        <f>IF(AQ2451="0",BJ2451,0)</f>
        <v>0</v>
      </c>
      <c r="AI2451" s="88" t="s">
        <v>55</v>
      </c>
      <c r="AJ2451" s="93">
        <f>IF(AN2451=0,L2451,0)</f>
        <v>0</v>
      </c>
      <c r="AK2451" s="93">
        <f>IF(AN2451=12,L2451,0)</f>
        <v>0</v>
      </c>
      <c r="AL2451" s="93">
        <f>IF(AN2451=21,L2451,0)</f>
        <v>0</v>
      </c>
      <c r="AN2451" s="93">
        <v>21</v>
      </c>
      <c r="AO2451" s="93">
        <f>H2451*0.901871776</f>
        <v>0</v>
      </c>
      <c r="AP2451" s="93">
        <f>H2451*(1-0.901871776)</f>
        <v>0</v>
      </c>
      <c r="AQ2451" s="94" t="s">
        <v>148</v>
      </c>
      <c r="AV2451" s="93">
        <f>AW2451+AX2451</f>
        <v>0</v>
      </c>
      <c r="AW2451" s="93">
        <f>G2451*AO2451</f>
        <v>0</v>
      </c>
      <c r="AX2451" s="93">
        <f>G2451*AP2451</f>
        <v>0</v>
      </c>
      <c r="AY2451" s="94" t="s">
        <v>3131</v>
      </c>
      <c r="AZ2451" s="94" t="s">
        <v>2927</v>
      </c>
      <c r="BA2451" s="88" t="s">
        <v>67</v>
      </c>
      <c r="BC2451" s="93">
        <f>AW2451+AX2451</f>
        <v>0</v>
      </c>
      <c r="BD2451" s="93">
        <f>H2451/(100-BE2451)*100</f>
        <v>0</v>
      </c>
      <c r="BE2451" s="93">
        <v>0</v>
      </c>
      <c r="BF2451" s="93">
        <f>O2451</f>
        <v>3.1080000000000003E-2</v>
      </c>
      <c r="BH2451" s="93">
        <f>G2451*AO2451</f>
        <v>0</v>
      </c>
      <c r="BI2451" s="93">
        <f>G2451*AP2451</f>
        <v>0</v>
      </c>
      <c r="BJ2451" s="93">
        <f>G2451*H2451</f>
        <v>0</v>
      </c>
      <c r="BK2451" s="93"/>
      <c r="BL2451" s="93"/>
      <c r="BW2451" s="93" t="str">
        <f>I2451</f>
        <v>21</v>
      </c>
      <c r="BX2451" s="2" t="s">
        <v>3296</v>
      </c>
    </row>
    <row r="2452" spans="1:76" s="81" customFormat="1" ht="13.5" customHeight="1" x14ac:dyDescent="0.25">
      <c r="A2452" s="110"/>
      <c r="B2452" s="95"/>
      <c r="C2452" s="95"/>
      <c r="D2452" s="179" t="s">
        <v>3297</v>
      </c>
      <c r="E2452" s="179"/>
      <c r="F2452" s="179"/>
      <c r="G2452" s="179"/>
      <c r="H2452" s="179"/>
      <c r="I2452" s="179"/>
      <c r="J2452" s="179"/>
      <c r="K2452" s="179"/>
      <c r="L2452" s="179"/>
      <c r="M2452" s="179"/>
      <c r="N2452" s="179"/>
      <c r="O2452" s="179"/>
      <c r="P2452" s="179"/>
    </row>
    <row r="2453" spans="1:76" s="81" customFormat="1" ht="25.5" x14ac:dyDescent="0.25">
      <c r="A2453" s="66" t="s">
        <v>3308</v>
      </c>
      <c r="B2453" s="72" t="s">
        <v>55</v>
      </c>
      <c r="C2453" s="72" t="s">
        <v>3299</v>
      </c>
      <c r="D2453" s="174" t="s">
        <v>3300</v>
      </c>
      <c r="E2453" s="174"/>
      <c r="F2453" s="72" t="s">
        <v>203</v>
      </c>
      <c r="G2453" s="90">
        <v>14</v>
      </c>
      <c r="H2453" s="91"/>
      <c r="I2453" s="92" t="s">
        <v>63</v>
      </c>
      <c r="J2453" s="90">
        <f>G2453*AO2453</f>
        <v>0</v>
      </c>
      <c r="K2453" s="90">
        <f>G2453*AP2453</f>
        <v>0</v>
      </c>
      <c r="L2453" s="90">
        <f>G2453*H2453</f>
        <v>0</v>
      </c>
      <c r="M2453" s="90">
        <f>L2453*(1+BW2453/100)</f>
        <v>0</v>
      </c>
      <c r="N2453" s="90">
        <v>0</v>
      </c>
      <c r="O2453" s="90">
        <f>G2453*N2453</f>
        <v>0</v>
      </c>
      <c r="P2453" s="92" t="s">
        <v>64</v>
      </c>
      <c r="Z2453" s="93">
        <f>IF(AQ2453="5",BJ2453,0)</f>
        <v>0</v>
      </c>
      <c r="AB2453" s="93">
        <f>IF(AQ2453="1",BH2453,0)</f>
        <v>0</v>
      </c>
      <c r="AC2453" s="93">
        <f>IF(AQ2453="1",BI2453,0)</f>
        <v>0</v>
      </c>
      <c r="AD2453" s="93">
        <f>IF(AQ2453="7",BH2453,0)</f>
        <v>0</v>
      </c>
      <c r="AE2453" s="93">
        <f>IF(AQ2453="7",BI2453,0)</f>
        <v>0</v>
      </c>
      <c r="AF2453" s="93">
        <f>IF(AQ2453="2",BH2453,0)</f>
        <v>0</v>
      </c>
      <c r="AG2453" s="93">
        <f>IF(AQ2453="2",BI2453,0)</f>
        <v>0</v>
      </c>
      <c r="AH2453" s="93">
        <f>IF(AQ2453="0",BJ2453,0)</f>
        <v>0</v>
      </c>
      <c r="AI2453" s="88" t="s">
        <v>55</v>
      </c>
      <c r="AJ2453" s="93">
        <f>IF(AN2453=0,L2453,0)</f>
        <v>0</v>
      </c>
      <c r="AK2453" s="93">
        <f>IF(AN2453=12,L2453,0)</f>
        <v>0</v>
      </c>
      <c r="AL2453" s="93">
        <f>IF(AN2453=21,L2453,0)</f>
        <v>0</v>
      </c>
      <c r="AN2453" s="93">
        <v>21</v>
      </c>
      <c r="AO2453" s="93">
        <f>H2453*0.87605225</f>
        <v>0</v>
      </c>
      <c r="AP2453" s="93">
        <f>H2453*(1-0.87605225)</f>
        <v>0</v>
      </c>
      <c r="AQ2453" s="94" t="s">
        <v>148</v>
      </c>
      <c r="AV2453" s="93">
        <f>AW2453+AX2453</f>
        <v>0</v>
      </c>
      <c r="AW2453" s="93">
        <f>G2453*AO2453</f>
        <v>0</v>
      </c>
      <c r="AX2453" s="93">
        <f>G2453*AP2453</f>
        <v>0</v>
      </c>
      <c r="AY2453" s="94" t="s">
        <v>3131</v>
      </c>
      <c r="AZ2453" s="94" t="s">
        <v>2927</v>
      </c>
      <c r="BA2453" s="88" t="s">
        <v>67</v>
      </c>
      <c r="BC2453" s="93">
        <f>AW2453+AX2453</f>
        <v>0</v>
      </c>
      <c r="BD2453" s="93">
        <f>H2453/(100-BE2453)*100</f>
        <v>0</v>
      </c>
      <c r="BE2453" s="93">
        <v>0</v>
      </c>
      <c r="BF2453" s="93">
        <f>O2453</f>
        <v>0</v>
      </c>
      <c r="BH2453" s="93">
        <f>G2453*AO2453</f>
        <v>0</v>
      </c>
      <c r="BI2453" s="93">
        <f>G2453*AP2453</f>
        <v>0</v>
      </c>
      <c r="BJ2453" s="93">
        <f>G2453*H2453</f>
        <v>0</v>
      </c>
      <c r="BK2453" s="93"/>
      <c r="BL2453" s="93"/>
      <c r="BW2453" s="93" t="str">
        <f>I2453</f>
        <v>21</v>
      </c>
      <c r="BX2453" s="2" t="s">
        <v>3300</v>
      </c>
    </row>
    <row r="2454" spans="1:76" s="81" customFormat="1" ht="25.5" x14ac:dyDescent="0.25">
      <c r="A2454" s="66" t="s">
        <v>3311</v>
      </c>
      <c r="B2454" s="72" t="s">
        <v>55</v>
      </c>
      <c r="C2454" s="72" t="s">
        <v>3302</v>
      </c>
      <c r="D2454" s="174" t="s">
        <v>3303</v>
      </c>
      <c r="E2454" s="174"/>
      <c r="F2454" s="72" t="s">
        <v>213</v>
      </c>
      <c r="G2454" s="90">
        <v>549</v>
      </c>
      <c r="H2454" s="91"/>
      <c r="I2454" s="92" t="s">
        <v>63</v>
      </c>
      <c r="J2454" s="90">
        <f>G2454*AO2454</f>
        <v>0</v>
      </c>
      <c r="K2454" s="90">
        <f>G2454*AP2454</f>
        <v>0</v>
      </c>
      <c r="L2454" s="90">
        <f>G2454*H2454</f>
        <v>0</v>
      </c>
      <c r="M2454" s="90">
        <f>L2454*(1+BW2454/100)</f>
        <v>0</v>
      </c>
      <c r="N2454" s="90">
        <v>0</v>
      </c>
      <c r="O2454" s="90">
        <f>G2454*N2454</f>
        <v>0</v>
      </c>
      <c r="P2454" s="92" t="s">
        <v>64</v>
      </c>
      <c r="Z2454" s="93">
        <f>IF(AQ2454="5",BJ2454,0)</f>
        <v>0</v>
      </c>
      <c r="AB2454" s="93">
        <f>IF(AQ2454="1",BH2454,0)</f>
        <v>0</v>
      </c>
      <c r="AC2454" s="93">
        <f>IF(AQ2454="1",BI2454,0)</f>
        <v>0</v>
      </c>
      <c r="AD2454" s="93">
        <f>IF(AQ2454="7",BH2454,0)</f>
        <v>0</v>
      </c>
      <c r="AE2454" s="93">
        <f>IF(AQ2454="7",BI2454,0)</f>
        <v>0</v>
      </c>
      <c r="AF2454" s="93">
        <f>IF(AQ2454="2",BH2454,0)</f>
        <v>0</v>
      </c>
      <c r="AG2454" s="93">
        <f>IF(AQ2454="2",BI2454,0)</f>
        <v>0</v>
      </c>
      <c r="AH2454" s="93">
        <f>IF(AQ2454="0",BJ2454,0)</f>
        <v>0</v>
      </c>
      <c r="AI2454" s="88" t="s">
        <v>55</v>
      </c>
      <c r="AJ2454" s="93">
        <f>IF(AN2454=0,L2454,0)</f>
        <v>0</v>
      </c>
      <c r="AK2454" s="93">
        <f>IF(AN2454=12,L2454,0)</f>
        <v>0</v>
      </c>
      <c r="AL2454" s="93">
        <f>IF(AN2454=21,L2454,0)</f>
        <v>0</v>
      </c>
      <c r="AN2454" s="93">
        <v>21</v>
      </c>
      <c r="AO2454" s="93">
        <f>H2454*0.029749104</f>
        <v>0</v>
      </c>
      <c r="AP2454" s="93">
        <f>H2454*(1-0.029749104)</f>
        <v>0</v>
      </c>
      <c r="AQ2454" s="94" t="s">
        <v>148</v>
      </c>
      <c r="AV2454" s="93">
        <f>AW2454+AX2454</f>
        <v>0</v>
      </c>
      <c r="AW2454" s="93">
        <f>G2454*AO2454</f>
        <v>0</v>
      </c>
      <c r="AX2454" s="93">
        <f>G2454*AP2454</f>
        <v>0</v>
      </c>
      <c r="AY2454" s="94" t="s">
        <v>3131</v>
      </c>
      <c r="AZ2454" s="94" t="s">
        <v>2927</v>
      </c>
      <c r="BA2454" s="88" t="s">
        <v>67</v>
      </c>
      <c r="BC2454" s="93">
        <f>AW2454+AX2454</f>
        <v>0</v>
      </c>
      <c r="BD2454" s="93">
        <f>H2454/(100-BE2454)*100</f>
        <v>0</v>
      </c>
      <c r="BE2454" s="93">
        <v>0</v>
      </c>
      <c r="BF2454" s="93">
        <f>O2454</f>
        <v>0</v>
      </c>
      <c r="BH2454" s="93">
        <f>G2454*AO2454</f>
        <v>0</v>
      </c>
      <c r="BI2454" s="93">
        <f>G2454*AP2454</f>
        <v>0</v>
      </c>
      <c r="BJ2454" s="93">
        <f>G2454*H2454</f>
        <v>0</v>
      </c>
      <c r="BK2454" s="93"/>
      <c r="BL2454" s="93"/>
      <c r="BW2454" s="93" t="str">
        <f>I2454</f>
        <v>21</v>
      </c>
      <c r="BX2454" s="2" t="s">
        <v>3303</v>
      </c>
    </row>
    <row r="2455" spans="1:76" s="81" customFormat="1" x14ac:dyDescent="0.25">
      <c r="A2455" s="110"/>
      <c r="B2455" s="95"/>
      <c r="C2455" s="95"/>
      <c r="D2455" s="76" t="s">
        <v>3304</v>
      </c>
      <c r="E2455" s="76" t="s">
        <v>54</v>
      </c>
      <c r="F2455" s="95"/>
      <c r="G2455" s="96">
        <v>549</v>
      </c>
      <c r="H2455" s="95"/>
      <c r="I2455" s="95"/>
      <c r="J2455" s="95"/>
      <c r="K2455" s="95"/>
      <c r="L2455" s="95"/>
      <c r="M2455" s="95"/>
      <c r="N2455" s="95"/>
      <c r="O2455" s="95"/>
      <c r="P2455" s="95"/>
    </row>
    <row r="2456" spans="1:76" s="81" customFormat="1" ht="25.5" x14ac:dyDescent="0.25">
      <c r="A2456" s="66" t="s">
        <v>3313</v>
      </c>
      <c r="B2456" s="72" t="s">
        <v>55</v>
      </c>
      <c r="C2456" s="72" t="s">
        <v>3306</v>
      </c>
      <c r="D2456" s="174" t="s">
        <v>3307</v>
      </c>
      <c r="E2456" s="174"/>
      <c r="F2456" s="72" t="s">
        <v>1447</v>
      </c>
      <c r="G2456" s="91"/>
      <c r="H2456" s="91"/>
      <c r="I2456" s="92" t="s">
        <v>63</v>
      </c>
      <c r="J2456" s="90">
        <f t="shared" ref="J2456:J2461" si="463">G2456*AO2456</f>
        <v>0</v>
      </c>
      <c r="K2456" s="90">
        <f t="shared" ref="K2456:K2461" si="464">G2456*AP2456</f>
        <v>0</v>
      </c>
      <c r="L2456" s="90">
        <f t="shared" ref="L2456:L2461" si="465">G2456*H2456</f>
        <v>0</v>
      </c>
      <c r="M2456" s="90">
        <f t="shared" ref="M2456:M2461" si="466">L2456*(1+BW2456/100)</f>
        <v>0</v>
      </c>
      <c r="N2456" s="90">
        <v>0</v>
      </c>
      <c r="O2456" s="90">
        <f t="shared" ref="O2456:O2461" si="467">G2456*N2456</f>
        <v>0</v>
      </c>
      <c r="P2456" s="92" t="s">
        <v>64</v>
      </c>
      <c r="Z2456" s="93">
        <f t="shared" ref="Z2456:Z2461" si="468">IF(AQ2456="5",BJ2456,0)</f>
        <v>0</v>
      </c>
      <c r="AB2456" s="93">
        <f t="shared" ref="AB2456:AB2461" si="469">IF(AQ2456="1",BH2456,0)</f>
        <v>0</v>
      </c>
      <c r="AC2456" s="93">
        <f t="shared" ref="AC2456:AC2461" si="470">IF(AQ2456="1",BI2456,0)</f>
        <v>0</v>
      </c>
      <c r="AD2456" s="93">
        <f t="shared" ref="AD2456:AD2461" si="471">IF(AQ2456="7",BH2456,0)</f>
        <v>0</v>
      </c>
      <c r="AE2456" s="93">
        <f t="shared" ref="AE2456:AE2461" si="472">IF(AQ2456="7",BI2456,0)</f>
        <v>0</v>
      </c>
      <c r="AF2456" s="93">
        <f t="shared" ref="AF2456:AF2461" si="473">IF(AQ2456="2",BH2456,0)</f>
        <v>0</v>
      </c>
      <c r="AG2456" s="93">
        <f t="shared" ref="AG2456:AG2461" si="474">IF(AQ2456="2",BI2456,0)</f>
        <v>0</v>
      </c>
      <c r="AH2456" s="93">
        <f t="shared" ref="AH2456:AH2461" si="475">IF(AQ2456="0",BJ2456,0)</f>
        <v>0</v>
      </c>
      <c r="AI2456" s="88" t="s">
        <v>55</v>
      </c>
      <c r="AJ2456" s="93">
        <f t="shared" ref="AJ2456:AJ2461" si="476">IF(AN2456=0,L2456,0)</f>
        <v>0</v>
      </c>
      <c r="AK2456" s="93">
        <f t="shared" ref="AK2456:AK2461" si="477">IF(AN2456=12,L2456,0)</f>
        <v>0</v>
      </c>
      <c r="AL2456" s="93">
        <f t="shared" ref="AL2456:AL2461" si="478">IF(AN2456=21,L2456,0)</f>
        <v>0</v>
      </c>
      <c r="AN2456" s="93">
        <v>21</v>
      </c>
      <c r="AO2456" s="93">
        <f>H2456*0</f>
        <v>0</v>
      </c>
      <c r="AP2456" s="93">
        <f>H2456*(1-0)</f>
        <v>0</v>
      </c>
      <c r="AQ2456" s="94" t="s">
        <v>136</v>
      </c>
      <c r="AV2456" s="93">
        <f t="shared" ref="AV2456:AV2461" si="479">AW2456+AX2456</f>
        <v>0</v>
      </c>
      <c r="AW2456" s="93">
        <f t="shared" ref="AW2456:AW2461" si="480">G2456*AO2456</f>
        <v>0</v>
      </c>
      <c r="AX2456" s="93">
        <f t="shared" ref="AX2456:AX2461" si="481">G2456*AP2456</f>
        <v>0</v>
      </c>
      <c r="AY2456" s="94" t="s">
        <v>3131</v>
      </c>
      <c r="AZ2456" s="94" t="s">
        <v>2927</v>
      </c>
      <c r="BA2456" s="88" t="s">
        <v>67</v>
      </c>
      <c r="BC2456" s="93">
        <f t="shared" ref="BC2456:BC2461" si="482">AW2456+AX2456</f>
        <v>0</v>
      </c>
      <c r="BD2456" s="93">
        <f t="shared" ref="BD2456:BD2461" si="483">H2456/(100-BE2456)*100</f>
        <v>0</v>
      </c>
      <c r="BE2456" s="93">
        <v>0</v>
      </c>
      <c r="BF2456" s="93">
        <f t="shared" ref="BF2456:BF2461" si="484">O2456</f>
        <v>0</v>
      </c>
      <c r="BH2456" s="93">
        <f t="shared" ref="BH2456:BH2461" si="485">G2456*AO2456</f>
        <v>0</v>
      </c>
      <c r="BI2456" s="93">
        <f t="shared" ref="BI2456:BI2461" si="486">G2456*AP2456</f>
        <v>0</v>
      </c>
      <c r="BJ2456" s="93">
        <f t="shared" ref="BJ2456:BJ2461" si="487">G2456*H2456</f>
        <v>0</v>
      </c>
      <c r="BK2456" s="93"/>
      <c r="BL2456" s="93"/>
      <c r="BW2456" s="93" t="str">
        <f t="shared" ref="BW2456:BW2461" si="488">I2456</f>
        <v>21</v>
      </c>
      <c r="BX2456" s="2" t="s">
        <v>3307</v>
      </c>
    </row>
    <row r="2457" spans="1:76" s="81" customFormat="1" ht="25.5" x14ac:dyDescent="0.25">
      <c r="A2457" s="66" t="s">
        <v>3316</v>
      </c>
      <c r="B2457" s="72" t="s">
        <v>55</v>
      </c>
      <c r="C2457" s="72" t="s">
        <v>3309</v>
      </c>
      <c r="D2457" s="174" t="s">
        <v>3310</v>
      </c>
      <c r="E2457" s="174"/>
      <c r="F2457" s="72" t="s">
        <v>1332</v>
      </c>
      <c r="G2457" s="90">
        <v>2</v>
      </c>
      <c r="H2457" s="91"/>
      <c r="I2457" s="92" t="s">
        <v>63</v>
      </c>
      <c r="J2457" s="90">
        <f t="shared" si="463"/>
        <v>0</v>
      </c>
      <c r="K2457" s="90">
        <f t="shared" si="464"/>
        <v>0</v>
      </c>
      <c r="L2457" s="90">
        <f t="shared" si="465"/>
        <v>0</v>
      </c>
      <c r="M2457" s="90">
        <f t="shared" si="466"/>
        <v>0</v>
      </c>
      <c r="N2457" s="90">
        <v>9.6000000000000002E-4</v>
      </c>
      <c r="O2457" s="90">
        <f t="shared" si="467"/>
        <v>1.92E-3</v>
      </c>
      <c r="P2457" s="92" t="s">
        <v>64</v>
      </c>
      <c r="Z2457" s="93">
        <f t="shared" si="468"/>
        <v>0</v>
      </c>
      <c r="AB2457" s="93">
        <f t="shared" si="469"/>
        <v>0</v>
      </c>
      <c r="AC2457" s="93">
        <f t="shared" si="470"/>
        <v>0</v>
      </c>
      <c r="AD2457" s="93">
        <f t="shared" si="471"/>
        <v>0</v>
      </c>
      <c r="AE2457" s="93">
        <f t="shared" si="472"/>
        <v>0</v>
      </c>
      <c r="AF2457" s="93">
        <f t="shared" si="473"/>
        <v>0</v>
      </c>
      <c r="AG2457" s="93">
        <f t="shared" si="474"/>
        <v>0</v>
      </c>
      <c r="AH2457" s="93">
        <f t="shared" si="475"/>
        <v>0</v>
      </c>
      <c r="AI2457" s="88" t="s">
        <v>55</v>
      </c>
      <c r="AJ2457" s="93">
        <f t="shared" si="476"/>
        <v>0</v>
      </c>
      <c r="AK2457" s="93">
        <f t="shared" si="477"/>
        <v>0</v>
      </c>
      <c r="AL2457" s="93">
        <f t="shared" si="478"/>
        <v>0</v>
      </c>
      <c r="AN2457" s="93">
        <v>21</v>
      </c>
      <c r="AO2457" s="93">
        <f>H2457*0.676934441</f>
        <v>0</v>
      </c>
      <c r="AP2457" s="93">
        <f>H2457*(1-0.676934441)</f>
        <v>0</v>
      </c>
      <c r="AQ2457" s="94" t="s">
        <v>148</v>
      </c>
      <c r="AV2457" s="93">
        <f t="shared" si="479"/>
        <v>0</v>
      </c>
      <c r="AW2457" s="93">
        <f t="shared" si="480"/>
        <v>0</v>
      </c>
      <c r="AX2457" s="93">
        <f t="shared" si="481"/>
        <v>0</v>
      </c>
      <c r="AY2457" s="94" t="s">
        <v>3131</v>
      </c>
      <c r="AZ2457" s="94" t="s">
        <v>2927</v>
      </c>
      <c r="BA2457" s="88" t="s">
        <v>67</v>
      </c>
      <c r="BC2457" s="93">
        <f t="shared" si="482"/>
        <v>0</v>
      </c>
      <c r="BD2457" s="93">
        <f t="shared" si="483"/>
        <v>0</v>
      </c>
      <c r="BE2457" s="93">
        <v>0</v>
      </c>
      <c r="BF2457" s="93">
        <f t="shared" si="484"/>
        <v>1.92E-3</v>
      </c>
      <c r="BH2457" s="93">
        <f t="shared" si="485"/>
        <v>0</v>
      </c>
      <c r="BI2457" s="93">
        <f t="shared" si="486"/>
        <v>0</v>
      </c>
      <c r="BJ2457" s="93">
        <f t="shared" si="487"/>
        <v>0</v>
      </c>
      <c r="BK2457" s="93"/>
      <c r="BL2457" s="93"/>
      <c r="BW2457" s="93" t="str">
        <f t="shared" si="488"/>
        <v>21</v>
      </c>
      <c r="BX2457" s="2" t="s">
        <v>3310</v>
      </c>
    </row>
    <row r="2458" spans="1:76" s="81" customFormat="1" ht="25.5" x14ac:dyDescent="0.25">
      <c r="A2458" s="66" t="s">
        <v>3317</v>
      </c>
      <c r="B2458" s="72" t="s">
        <v>55</v>
      </c>
      <c r="C2458" s="72" t="s">
        <v>2075</v>
      </c>
      <c r="D2458" s="174" t="s">
        <v>3312</v>
      </c>
      <c r="E2458" s="174"/>
      <c r="F2458" s="72" t="s">
        <v>1332</v>
      </c>
      <c r="G2458" s="90">
        <v>1</v>
      </c>
      <c r="H2458" s="91"/>
      <c r="I2458" s="92" t="s">
        <v>63</v>
      </c>
      <c r="J2458" s="90">
        <f t="shared" si="463"/>
        <v>0</v>
      </c>
      <c r="K2458" s="90">
        <f t="shared" si="464"/>
        <v>0</v>
      </c>
      <c r="L2458" s="90">
        <f t="shared" si="465"/>
        <v>0</v>
      </c>
      <c r="M2458" s="90">
        <f t="shared" si="466"/>
        <v>0</v>
      </c>
      <c r="N2458" s="90">
        <v>1.25E-3</v>
      </c>
      <c r="O2458" s="90">
        <f t="shared" si="467"/>
        <v>1.25E-3</v>
      </c>
      <c r="P2458" s="92" t="s">
        <v>64</v>
      </c>
      <c r="Z2458" s="93">
        <f t="shared" si="468"/>
        <v>0</v>
      </c>
      <c r="AB2458" s="93">
        <f t="shared" si="469"/>
        <v>0</v>
      </c>
      <c r="AC2458" s="93">
        <f t="shared" si="470"/>
        <v>0</v>
      </c>
      <c r="AD2458" s="93">
        <f t="shared" si="471"/>
        <v>0</v>
      </c>
      <c r="AE2458" s="93">
        <f t="shared" si="472"/>
        <v>0</v>
      </c>
      <c r="AF2458" s="93">
        <f t="shared" si="473"/>
        <v>0</v>
      </c>
      <c r="AG2458" s="93">
        <f t="shared" si="474"/>
        <v>0</v>
      </c>
      <c r="AH2458" s="93">
        <f t="shared" si="475"/>
        <v>0</v>
      </c>
      <c r="AI2458" s="88" t="s">
        <v>55</v>
      </c>
      <c r="AJ2458" s="93">
        <f t="shared" si="476"/>
        <v>0</v>
      </c>
      <c r="AK2458" s="93">
        <f t="shared" si="477"/>
        <v>0</v>
      </c>
      <c r="AL2458" s="93">
        <f t="shared" si="478"/>
        <v>0</v>
      </c>
      <c r="AN2458" s="93">
        <v>21</v>
      </c>
      <c r="AO2458" s="93">
        <f>H2458*0.958779219</f>
        <v>0</v>
      </c>
      <c r="AP2458" s="93">
        <f>H2458*(1-0.958779219)</f>
        <v>0</v>
      </c>
      <c r="AQ2458" s="94" t="s">
        <v>148</v>
      </c>
      <c r="AV2458" s="93">
        <f t="shared" si="479"/>
        <v>0</v>
      </c>
      <c r="AW2458" s="93">
        <f t="shared" si="480"/>
        <v>0</v>
      </c>
      <c r="AX2458" s="93">
        <f t="shared" si="481"/>
        <v>0</v>
      </c>
      <c r="AY2458" s="94" t="s">
        <v>3131</v>
      </c>
      <c r="AZ2458" s="94" t="s">
        <v>2927</v>
      </c>
      <c r="BA2458" s="88" t="s">
        <v>67</v>
      </c>
      <c r="BC2458" s="93">
        <f t="shared" si="482"/>
        <v>0</v>
      </c>
      <c r="BD2458" s="93">
        <f t="shared" si="483"/>
        <v>0</v>
      </c>
      <c r="BE2458" s="93">
        <v>0</v>
      </c>
      <c r="BF2458" s="93">
        <f t="shared" si="484"/>
        <v>1.25E-3</v>
      </c>
      <c r="BH2458" s="93">
        <f t="shared" si="485"/>
        <v>0</v>
      </c>
      <c r="BI2458" s="93">
        <f t="shared" si="486"/>
        <v>0</v>
      </c>
      <c r="BJ2458" s="93">
        <f t="shared" si="487"/>
        <v>0</v>
      </c>
      <c r="BK2458" s="93"/>
      <c r="BL2458" s="93"/>
      <c r="BW2458" s="93" t="str">
        <f t="shared" si="488"/>
        <v>21</v>
      </c>
      <c r="BX2458" s="2" t="s">
        <v>3312</v>
      </c>
    </row>
    <row r="2459" spans="1:76" s="81" customFormat="1" ht="25.5" x14ac:dyDescent="0.25">
      <c r="A2459" s="66" t="s">
        <v>3321</v>
      </c>
      <c r="B2459" s="72" t="s">
        <v>55</v>
      </c>
      <c r="C2459" s="72" t="s">
        <v>3314</v>
      </c>
      <c r="D2459" s="174" t="s">
        <v>3315</v>
      </c>
      <c r="E2459" s="174"/>
      <c r="F2459" s="72" t="s">
        <v>203</v>
      </c>
      <c r="G2459" s="90">
        <v>1</v>
      </c>
      <c r="H2459" s="91"/>
      <c r="I2459" s="92" t="s">
        <v>63</v>
      </c>
      <c r="J2459" s="90">
        <f t="shared" si="463"/>
        <v>0</v>
      </c>
      <c r="K2459" s="90">
        <f t="shared" si="464"/>
        <v>0</v>
      </c>
      <c r="L2459" s="90">
        <f t="shared" si="465"/>
        <v>0</v>
      </c>
      <c r="M2459" s="90">
        <f t="shared" si="466"/>
        <v>0</v>
      </c>
      <c r="N2459" s="90">
        <v>4.4999999999999997E-3</v>
      </c>
      <c r="O2459" s="90">
        <f t="shared" si="467"/>
        <v>4.4999999999999997E-3</v>
      </c>
      <c r="P2459" s="92" t="s">
        <v>64</v>
      </c>
      <c r="Z2459" s="93">
        <f t="shared" si="468"/>
        <v>0</v>
      </c>
      <c r="AB2459" s="93">
        <f t="shared" si="469"/>
        <v>0</v>
      </c>
      <c r="AC2459" s="93">
        <f t="shared" si="470"/>
        <v>0</v>
      </c>
      <c r="AD2459" s="93">
        <f t="shared" si="471"/>
        <v>0</v>
      </c>
      <c r="AE2459" s="93">
        <f t="shared" si="472"/>
        <v>0</v>
      </c>
      <c r="AF2459" s="93">
        <f t="shared" si="473"/>
        <v>0</v>
      </c>
      <c r="AG2459" s="93">
        <f t="shared" si="474"/>
        <v>0</v>
      </c>
      <c r="AH2459" s="93">
        <f t="shared" si="475"/>
        <v>0</v>
      </c>
      <c r="AI2459" s="88" t="s">
        <v>55</v>
      </c>
      <c r="AJ2459" s="93">
        <f t="shared" si="476"/>
        <v>0</v>
      </c>
      <c r="AK2459" s="93">
        <f t="shared" si="477"/>
        <v>0</v>
      </c>
      <c r="AL2459" s="93">
        <f t="shared" si="478"/>
        <v>0</v>
      </c>
      <c r="AN2459" s="93">
        <v>21</v>
      </c>
      <c r="AO2459" s="93">
        <f>H2459*0.942086022</f>
        <v>0</v>
      </c>
      <c r="AP2459" s="93">
        <f>H2459*(1-0.942086022)</f>
        <v>0</v>
      </c>
      <c r="AQ2459" s="94" t="s">
        <v>148</v>
      </c>
      <c r="AV2459" s="93">
        <f t="shared" si="479"/>
        <v>0</v>
      </c>
      <c r="AW2459" s="93">
        <f t="shared" si="480"/>
        <v>0</v>
      </c>
      <c r="AX2459" s="93">
        <f t="shared" si="481"/>
        <v>0</v>
      </c>
      <c r="AY2459" s="94" t="s">
        <v>3131</v>
      </c>
      <c r="AZ2459" s="94" t="s">
        <v>2927</v>
      </c>
      <c r="BA2459" s="88" t="s">
        <v>67</v>
      </c>
      <c r="BC2459" s="93">
        <f t="shared" si="482"/>
        <v>0</v>
      </c>
      <c r="BD2459" s="93">
        <f t="shared" si="483"/>
        <v>0</v>
      </c>
      <c r="BE2459" s="93">
        <v>0</v>
      </c>
      <c r="BF2459" s="93">
        <f t="shared" si="484"/>
        <v>4.4999999999999997E-3</v>
      </c>
      <c r="BH2459" s="93">
        <f t="shared" si="485"/>
        <v>0</v>
      </c>
      <c r="BI2459" s="93">
        <f t="shared" si="486"/>
        <v>0</v>
      </c>
      <c r="BJ2459" s="93">
        <f t="shared" si="487"/>
        <v>0</v>
      </c>
      <c r="BK2459" s="93"/>
      <c r="BL2459" s="93"/>
      <c r="BW2459" s="93" t="str">
        <f t="shared" si="488"/>
        <v>21</v>
      </c>
      <c r="BX2459" s="2" t="s">
        <v>3315</v>
      </c>
    </row>
    <row r="2460" spans="1:76" s="81" customFormat="1" ht="25.5" x14ac:dyDescent="0.25">
      <c r="A2460" s="66" t="s">
        <v>3325</v>
      </c>
      <c r="B2460" s="72" t="s">
        <v>55</v>
      </c>
      <c r="C2460" s="72" t="s">
        <v>3306</v>
      </c>
      <c r="D2460" s="174" t="s">
        <v>3307</v>
      </c>
      <c r="E2460" s="174"/>
      <c r="F2460" s="72" t="s">
        <v>1447</v>
      </c>
      <c r="G2460" s="91"/>
      <c r="H2460" s="91"/>
      <c r="I2460" s="92" t="s">
        <v>63</v>
      </c>
      <c r="J2460" s="90">
        <f t="shared" si="463"/>
        <v>0</v>
      </c>
      <c r="K2460" s="90">
        <f t="shared" si="464"/>
        <v>0</v>
      </c>
      <c r="L2460" s="90">
        <f t="shared" si="465"/>
        <v>0</v>
      </c>
      <c r="M2460" s="90">
        <f t="shared" si="466"/>
        <v>0</v>
      </c>
      <c r="N2460" s="90">
        <v>0</v>
      </c>
      <c r="O2460" s="90">
        <f t="shared" si="467"/>
        <v>0</v>
      </c>
      <c r="P2460" s="92" t="s">
        <v>64</v>
      </c>
      <c r="Z2460" s="93">
        <f t="shared" si="468"/>
        <v>0</v>
      </c>
      <c r="AB2460" s="93">
        <f t="shared" si="469"/>
        <v>0</v>
      </c>
      <c r="AC2460" s="93">
        <f t="shared" si="470"/>
        <v>0</v>
      </c>
      <c r="AD2460" s="93">
        <f t="shared" si="471"/>
        <v>0</v>
      </c>
      <c r="AE2460" s="93">
        <f t="shared" si="472"/>
        <v>0</v>
      </c>
      <c r="AF2460" s="93">
        <f t="shared" si="473"/>
        <v>0</v>
      </c>
      <c r="AG2460" s="93">
        <f t="shared" si="474"/>
        <v>0</v>
      </c>
      <c r="AH2460" s="93">
        <f t="shared" si="475"/>
        <v>0</v>
      </c>
      <c r="AI2460" s="88" t="s">
        <v>55</v>
      </c>
      <c r="AJ2460" s="93">
        <f t="shared" si="476"/>
        <v>0</v>
      </c>
      <c r="AK2460" s="93">
        <f t="shared" si="477"/>
        <v>0</v>
      </c>
      <c r="AL2460" s="93">
        <f t="shared" si="478"/>
        <v>0</v>
      </c>
      <c r="AN2460" s="93">
        <v>21</v>
      </c>
      <c r="AO2460" s="93">
        <f>H2460*0</f>
        <v>0</v>
      </c>
      <c r="AP2460" s="93">
        <f>H2460*(1-0)</f>
        <v>0</v>
      </c>
      <c r="AQ2460" s="94" t="s">
        <v>136</v>
      </c>
      <c r="AV2460" s="93">
        <f t="shared" si="479"/>
        <v>0</v>
      </c>
      <c r="AW2460" s="93">
        <f t="shared" si="480"/>
        <v>0</v>
      </c>
      <c r="AX2460" s="93">
        <f t="shared" si="481"/>
        <v>0</v>
      </c>
      <c r="AY2460" s="94" t="s">
        <v>3131</v>
      </c>
      <c r="AZ2460" s="94" t="s">
        <v>2927</v>
      </c>
      <c r="BA2460" s="88" t="s">
        <v>67</v>
      </c>
      <c r="BC2460" s="93">
        <f t="shared" si="482"/>
        <v>0</v>
      </c>
      <c r="BD2460" s="93">
        <f t="shared" si="483"/>
        <v>0</v>
      </c>
      <c r="BE2460" s="93">
        <v>0</v>
      </c>
      <c r="BF2460" s="93">
        <f t="shared" si="484"/>
        <v>0</v>
      </c>
      <c r="BH2460" s="93">
        <f t="shared" si="485"/>
        <v>0</v>
      </c>
      <c r="BI2460" s="93">
        <f t="shared" si="486"/>
        <v>0</v>
      </c>
      <c r="BJ2460" s="93">
        <f t="shared" si="487"/>
        <v>0</v>
      </c>
      <c r="BK2460" s="93"/>
      <c r="BL2460" s="93"/>
      <c r="BW2460" s="93" t="str">
        <f t="shared" si="488"/>
        <v>21</v>
      </c>
      <c r="BX2460" s="2" t="s">
        <v>3307</v>
      </c>
    </row>
    <row r="2461" spans="1:76" s="81" customFormat="1" ht="25.5" x14ac:dyDescent="0.25">
      <c r="A2461" s="66" t="s">
        <v>3328</v>
      </c>
      <c r="B2461" s="72" t="s">
        <v>55</v>
      </c>
      <c r="C2461" s="72" t="s">
        <v>3318</v>
      </c>
      <c r="D2461" s="174" t="s">
        <v>3319</v>
      </c>
      <c r="E2461" s="174"/>
      <c r="F2461" s="72" t="s">
        <v>213</v>
      </c>
      <c r="G2461" s="90">
        <v>68</v>
      </c>
      <c r="H2461" s="91"/>
      <c r="I2461" s="92" t="s">
        <v>63</v>
      </c>
      <c r="J2461" s="90">
        <f t="shared" si="463"/>
        <v>0</v>
      </c>
      <c r="K2461" s="90">
        <f t="shared" si="464"/>
        <v>0</v>
      </c>
      <c r="L2461" s="90">
        <f t="shared" si="465"/>
        <v>0</v>
      </c>
      <c r="M2461" s="90">
        <f t="shared" si="466"/>
        <v>0</v>
      </c>
      <c r="N2461" s="90">
        <v>5.8E-4</v>
      </c>
      <c r="O2461" s="90">
        <f t="shared" si="467"/>
        <v>3.9440000000000003E-2</v>
      </c>
      <c r="P2461" s="92" t="s">
        <v>64</v>
      </c>
      <c r="Z2461" s="93">
        <f t="shared" si="468"/>
        <v>0</v>
      </c>
      <c r="AB2461" s="93">
        <f t="shared" si="469"/>
        <v>0</v>
      </c>
      <c r="AC2461" s="93">
        <f t="shared" si="470"/>
        <v>0</v>
      </c>
      <c r="AD2461" s="93">
        <f t="shared" si="471"/>
        <v>0</v>
      </c>
      <c r="AE2461" s="93">
        <f t="shared" si="472"/>
        <v>0</v>
      </c>
      <c r="AF2461" s="93">
        <f t="shared" si="473"/>
        <v>0</v>
      </c>
      <c r="AG2461" s="93">
        <f t="shared" si="474"/>
        <v>0</v>
      </c>
      <c r="AH2461" s="93">
        <f t="shared" si="475"/>
        <v>0</v>
      </c>
      <c r="AI2461" s="88" t="s">
        <v>55</v>
      </c>
      <c r="AJ2461" s="93">
        <f t="shared" si="476"/>
        <v>0</v>
      </c>
      <c r="AK2461" s="93">
        <f t="shared" si="477"/>
        <v>0</v>
      </c>
      <c r="AL2461" s="93">
        <f t="shared" si="478"/>
        <v>0</v>
      </c>
      <c r="AN2461" s="93">
        <v>21</v>
      </c>
      <c r="AO2461" s="93">
        <f>H2461*0.314219895</f>
        <v>0</v>
      </c>
      <c r="AP2461" s="93">
        <f>H2461*(1-0.314219895)</f>
        <v>0</v>
      </c>
      <c r="AQ2461" s="94" t="s">
        <v>148</v>
      </c>
      <c r="AV2461" s="93">
        <f t="shared" si="479"/>
        <v>0</v>
      </c>
      <c r="AW2461" s="93">
        <f t="shared" si="480"/>
        <v>0</v>
      </c>
      <c r="AX2461" s="93">
        <f t="shared" si="481"/>
        <v>0</v>
      </c>
      <c r="AY2461" s="94" t="s">
        <v>3131</v>
      </c>
      <c r="AZ2461" s="94" t="s">
        <v>2927</v>
      </c>
      <c r="BA2461" s="88" t="s">
        <v>67</v>
      </c>
      <c r="BC2461" s="93">
        <f t="shared" si="482"/>
        <v>0</v>
      </c>
      <c r="BD2461" s="93">
        <f t="shared" si="483"/>
        <v>0</v>
      </c>
      <c r="BE2461" s="93">
        <v>0</v>
      </c>
      <c r="BF2461" s="93">
        <f t="shared" si="484"/>
        <v>3.9440000000000003E-2</v>
      </c>
      <c r="BH2461" s="93">
        <f t="shared" si="485"/>
        <v>0</v>
      </c>
      <c r="BI2461" s="93">
        <f t="shared" si="486"/>
        <v>0</v>
      </c>
      <c r="BJ2461" s="93">
        <f t="shared" si="487"/>
        <v>0</v>
      </c>
      <c r="BK2461" s="93"/>
      <c r="BL2461" s="93"/>
      <c r="BW2461" s="93" t="str">
        <f t="shared" si="488"/>
        <v>21</v>
      </c>
      <c r="BX2461" s="2" t="s">
        <v>3319</v>
      </c>
    </row>
    <row r="2462" spans="1:76" s="81" customFormat="1" x14ac:dyDescent="0.25">
      <c r="A2462" s="110"/>
      <c r="B2462" s="95"/>
      <c r="C2462" s="95"/>
      <c r="D2462" s="76" t="s">
        <v>3320</v>
      </c>
      <c r="E2462" s="76" t="s">
        <v>54</v>
      </c>
      <c r="F2462" s="95"/>
      <c r="G2462" s="96">
        <v>68</v>
      </c>
      <c r="H2462" s="95"/>
      <c r="I2462" s="95"/>
      <c r="J2462" s="95"/>
      <c r="K2462" s="95"/>
      <c r="L2462" s="95"/>
      <c r="M2462" s="95"/>
      <c r="N2462" s="95"/>
      <c r="O2462" s="95"/>
      <c r="P2462" s="95"/>
    </row>
    <row r="2463" spans="1:76" s="81" customFormat="1" ht="25.5" x14ac:dyDescent="0.25">
      <c r="A2463" s="66" t="s">
        <v>3331</v>
      </c>
      <c r="B2463" s="72" t="s">
        <v>55</v>
      </c>
      <c r="C2463" s="72" t="s">
        <v>3322</v>
      </c>
      <c r="D2463" s="174" t="s">
        <v>3323</v>
      </c>
      <c r="E2463" s="174"/>
      <c r="F2463" s="72" t="s">
        <v>213</v>
      </c>
      <c r="G2463" s="90">
        <v>342</v>
      </c>
      <c r="H2463" s="91"/>
      <c r="I2463" s="92" t="s">
        <v>63</v>
      </c>
      <c r="J2463" s="90">
        <f>G2463*AO2463</f>
        <v>0</v>
      </c>
      <c r="K2463" s="90">
        <f>G2463*AP2463</f>
        <v>0</v>
      </c>
      <c r="L2463" s="90">
        <f>G2463*H2463</f>
        <v>0</v>
      </c>
      <c r="M2463" s="90">
        <f>L2463*(1+BW2463/100)</f>
        <v>0</v>
      </c>
      <c r="N2463" s="90">
        <v>4.6000000000000001E-4</v>
      </c>
      <c r="O2463" s="90">
        <f>G2463*N2463</f>
        <v>0.15732000000000002</v>
      </c>
      <c r="P2463" s="92" t="s">
        <v>64</v>
      </c>
      <c r="Z2463" s="93">
        <f>IF(AQ2463="5",BJ2463,0)</f>
        <v>0</v>
      </c>
      <c r="AB2463" s="93">
        <f>IF(AQ2463="1",BH2463,0)</f>
        <v>0</v>
      </c>
      <c r="AC2463" s="93">
        <f>IF(AQ2463="1",BI2463,0)</f>
        <v>0</v>
      </c>
      <c r="AD2463" s="93">
        <f>IF(AQ2463="7",BH2463,0)</f>
        <v>0</v>
      </c>
      <c r="AE2463" s="93">
        <f>IF(AQ2463="7",BI2463,0)</f>
        <v>0</v>
      </c>
      <c r="AF2463" s="93">
        <f>IF(AQ2463="2",BH2463,0)</f>
        <v>0</v>
      </c>
      <c r="AG2463" s="93">
        <f>IF(AQ2463="2",BI2463,0)</f>
        <v>0</v>
      </c>
      <c r="AH2463" s="93">
        <f>IF(AQ2463="0",BJ2463,0)</f>
        <v>0</v>
      </c>
      <c r="AI2463" s="88" t="s">
        <v>55</v>
      </c>
      <c r="AJ2463" s="93">
        <f>IF(AN2463=0,L2463,0)</f>
        <v>0</v>
      </c>
      <c r="AK2463" s="93">
        <f>IF(AN2463=12,L2463,0)</f>
        <v>0</v>
      </c>
      <c r="AL2463" s="93">
        <f>IF(AN2463=21,L2463,0)</f>
        <v>0</v>
      </c>
      <c r="AN2463" s="93">
        <v>21</v>
      </c>
      <c r="AO2463" s="93">
        <f>H2463*0.264600144</f>
        <v>0</v>
      </c>
      <c r="AP2463" s="93">
        <f>H2463*(1-0.264600144)</f>
        <v>0</v>
      </c>
      <c r="AQ2463" s="94" t="s">
        <v>148</v>
      </c>
      <c r="AV2463" s="93">
        <f>AW2463+AX2463</f>
        <v>0</v>
      </c>
      <c r="AW2463" s="93">
        <f>G2463*AO2463</f>
        <v>0</v>
      </c>
      <c r="AX2463" s="93">
        <f>G2463*AP2463</f>
        <v>0</v>
      </c>
      <c r="AY2463" s="94" t="s">
        <v>3131</v>
      </c>
      <c r="AZ2463" s="94" t="s">
        <v>2927</v>
      </c>
      <c r="BA2463" s="88" t="s">
        <v>67</v>
      </c>
      <c r="BC2463" s="93">
        <f>AW2463+AX2463</f>
        <v>0</v>
      </c>
      <c r="BD2463" s="93">
        <f>H2463/(100-BE2463)*100</f>
        <v>0</v>
      </c>
      <c r="BE2463" s="93">
        <v>0</v>
      </c>
      <c r="BF2463" s="93">
        <f>O2463</f>
        <v>0.15732000000000002</v>
      </c>
      <c r="BH2463" s="93">
        <f>G2463*AO2463</f>
        <v>0</v>
      </c>
      <c r="BI2463" s="93">
        <f>G2463*AP2463</f>
        <v>0</v>
      </c>
      <c r="BJ2463" s="93">
        <f>G2463*H2463</f>
        <v>0</v>
      </c>
      <c r="BK2463" s="93"/>
      <c r="BL2463" s="93"/>
      <c r="BW2463" s="93" t="str">
        <f>I2463</f>
        <v>21</v>
      </c>
      <c r="BX2463" s="2" t="s">
        <v>3323</v>
      </c>
    </row>
    <row r="2464" spans="1:76" s="81" customFormat="1" x14ac:dyDescent="0.25">
      <c r="A2464" s="110"/>
      <c r="B2464" s="95"/>
      <c r="C2464" s="95"/>
      <c r="D2464" s="76" t="s">
        <v>3324</v>
      </c>
      <c r="E2464" s="76" t="s">
        <v>54</v>
      </c>
      <c r="F2464" s="95"/>
      <c r="G2464" s="96">
        <v>342</v>
      </c>
      <c r="H2464" s="95"/>
      <c r="I2464" s="95"/>
      <c r="J2464" s="95"/>
      <c r="K2464" s="95"/>
      <c r="L2464" s="95"/>
      <c r="M2464" s="95"/>
      <c r="N2464" s="95"/>
      <c r="O2464" s="95"/>
      <c r="P2464" s="95"/>
    </row>
    <row r="2465" spans="1:76" s="81" customFormat="1" ht="25.5" x14ac:dyDescent="0.25">
      <c r="A2465" s="66" t="s">
        <v>3334</v>
      </c>
      <c r="B2465" s="72" t="s">
        <v>55</v>
      </c>
      <c r="C2465" s="72" t="s">
        <v>3326</v>
      </c>
      <c r="D2465" s="174" t="s">
        <v>3327</v>
      </c>
      <c r="E2465" s="174"/>
      <c r="F2465" s="72" t="s">
        <v>213</v>
      </c>
      <c r="G2465" s="90">
        <v>34</v>
      </c>
      <c r="H2465" s="91"/>
      <c r="I2465" s="92" t="s">
        <v>63</v>
      </c>
      <c r="J2465" s="90">
        <f t="shared" ref="J2465:J2478" si="489">G2465*AO2465</f>
        <v>0</v>
      </c>
      <c r="K2465" s="90">
        <f t="shared" ref="K2465:K2478" si="490">G2465*AP2465</f>
        <v>0</v>
      </c>
      <c r="L2465" s="90">
        <f t="shared" ref="L2465:L2478" si="491">G2465*H2465</f>
        <v>0</v>
      </c>
      <c r="M2465" s="90">
        <f t="shared" ref="M2465:M2478" si="492">L2465*(1+BW2465/100)</f>
        <v>0</v>
      </c>
      <c r="N2465" s="90">
        <v>7.3999999999999999E-4</v>
      </c>
      <c r="O2465" s="90">
        <f t="shared" ref="O2465:O2478" si="493">G2465*N2465</f>
        <v>2.5159999999999998E-2</v>
      </c>
      <c r="P2465" s="92" t="s">
        <v>64</v>
      </c>
      <c r="Z2465" s="93">
        <f t="shared" ref="Z2465:Z2478" si="494">IF(AQ2465="5",BJ2465,0)</f>
        <v>0</v>
      </c>
      <c r="AB2465" s="93">
        <f t="shared" ref="AB2465:AB2478" si="495">IF(AQ2465="1",BH2465,0)</f>
        <v>0</v>
      </c>
      <c r="AC2465" s="93">
        <f t="shared" ref="AC2465:AC2478" si="496">IF(AQ2465="1",BI2465,0)</f>
        <v>0</v>
      </c>
      <c r="AD2465" s="93">
        <f t="shared" ref="AD2465:AD2478" si="497">IF(AQ2465="7",BH2465,0)</f>
        <v>0</v>
      </c>
      <c r="AE2465" s="93">
        <f t="shared" ref="AE2465:AE2478" si="498">IF(AQ2465="7",BI2465,0)</f>
        <v>0</v>
      </c>
      <c r="AF2465" s="93">
        <f t="shared" ref="AF2465:AF2478" si="499">IF(AQ2465="2",BH2465,0)</f>
        <v>0</v>
      </c>
      <c r="AG2465" s="93">
        <f t="shared" ref="AG2465:AG2478" si="500">IF(AQ2465="2",BI2465,0)</f>
        <v>0</v>
      </c>
      <c r="AH2465" s="93">
        <f t="shared" ref="AH2465:AH2478" si="501">IF(AQ2465="0",BJ2465,0)</f>
        <v>0</v>
      </c>
      <c r="AI2465" s="88" t="s">
        <v>55</v>
      </c>
      <c r="AJ2465" s="93">
        <f t="shared" ref="AJ2465:AJ2478" si="502">IF(AN2465=0,L2465,0)</f>
        <v>0</v>
      </c>
      <c r="AK2465" s="93">
        <f t="shared" ref="AK2465:AK2478" si="503">IF(AN2465=12,L2465,0)</f>
        <v>0</v>
      </c>
      <c r="AL2465" s="93">
        <f t="shared" ref="AL2465:AL2478" si="504">IF(AN2465=21,L2465,0)</f>
        <v>0</v>
      </c>
      <c r="AN2465" s="93">
        <v>21</v>
      </c>
      <c r="AO2465" s="93">
        <f>H2465*0.382080642</f>
        <v>0</v>
      </c>
      <c r="AP2465" s="93">
        <f>H2465*(1-0.382080642)</f>
        <v>0</v>
      </c>
      <c r="AQ2465" s="94" t="s">
        <v>148</v>
      </c>
      <c r="AV2465" s="93">
        <f t="shared" ref="AV2465:AV2478" si="505">AW2465+AX2465</f>
        <v>0</v>
      </c>
      <c r="AW2465" s="93">
        <f t="shared" ref="AW2465:AW2478" si="506">G2465*AO2465</f>
        <v>0</v>
      </c>
      <c r="AX2465" s="93">
        <f t="shared" ref="AX2465:AX2478" si="507">G2465*AP2465</f>
        <v>0</v>
      </c>
      <c r="AY2465" s="94" t="s">
        <v>3131</v>
      </c>
      <c r="AZ2465" s="94" t="s">
        <v>2927</v>
      </c>
      <c r="BA2465" s="88" t="s">
        <v>67</v>
      </c>
      <c r="BC2465" s="93">
        <f t="shared" ref="BC2465:BC2478" si="508">AW2465+AX2465</f>
        <v>0</v>
      </c>
      <c r="BD2465" s="93">
        <f t="shared" ref="BD2465:BD2478" si="509">H2465/(100-BE2465)*100</f>
        <v>0</v>
      </c>
      <c r="BE2465" s="93">
        <v>0</v>
      </c>
      <c r="BF2465" s="93">
        <f t="shared" ref="BF2465:BF2478" si="510">O2465</f>
        <v>2.5159999999999998E-2</v>
      </c>
      <c r="BH2465" s="93">
        <f t="shared" ref="BH2465:BH2478" si="511">G2465*AO2465</f>
        <v>0</v>
      </c>
      <c r="BI2465" s="93">
        <f t="shared" ref="BI2465:BI2478" si="512">G2465*AP2465</f>
        <v>0</v>
      </c>
      <c r="BJ2465" s="93">
        <f t="shared" ref="BJ2465:BJ2478" si="513">G2465*H2465</f>
        <v>0</v>
      </c>
      <c r="BK2465" s="93"/>
      <c r="BL2465" s="93"/>
      <c r="BW2465" s="93" t="str">
        <f t="shared" ref="BW2465:BW2478" si="514">I2465</f>
        <v>21</v>
      </c>
      <c r="BX2465" s="2" t="s">
        <v>3327</v>
      </c>
    </row>
    <row r="2466" spans="1:76" s="81" customFormat="1" ht="25.5" x14ac:dyDescent="0.25">
      <c r="A2466" s="66" t="s">
        <v>3337</v>
      </c>
      <c r="B2466" s="72" t="s">
        <v>55</v>
      </c>
      <c r="C2466" s="72" t="s">
        <v>3329</v>
      </c>
      <c r="D2466" s="174" t="s">
        <v>3330</v>
      </c>
      <c r="E2466" s="174"/>
      <c r="F2466" s="72" t="s">
        <v>213</v>
      </c>
      <c r="G2466" s="90">
        <v>14</v>
      </c>
      <c r="H2466" s="91"/>
      <c r="I2466" s="92" t="s">
        <v>63</v>
      </c>
      <c r="J2466" s="90">
        <f t="shared" si="489"/>
        <v>0</v>
      </c>
      <c r="K2466" s="90">
        <f t="shared" si="490"/>
        <v>0</v>
      </c>
      <c r="L2466" s="90">
        <f t="shared" si="491"/>
        <v>0</v>
      </c>
      <c r="M2466" s="90">
        <f t="shared" si="492"/>
        <v>0</v>
      </c>
      <c r="N2466" s="90">
        <v>1.1100000000000001E-3</v>
      </c>
      <c r="O2466" s="90">
        <f t="shared" si="493"/>
        <v>1.5540000000000002E-2</v>
      </c>
      <c r="P2466" s="92" t="s">
        <v>64</v>
      </c>
      <c r="Z2466" s="93">
        <f t="shared" si="494"/>
        <v>0</v>
      </c>
      <c r="AB2466" s="93">
        <f t="shared" si="495"/>
        <v>0</v>
      </c>
      <c r="AC2466" s="93">
        <f t="shared" si="496"/>
        <v>0</v>
      </c>
      <c r="AD2466" s="93">
        <f t="shared" si="497"/>
        <v>0</v>
      </c>
      <c r="AE2466" s="93">
        <f t="shared" si="498"/>
        <v>0</v>
      </c>
      <c r="AF2466" s="93">
        <f t="shared" si="499"/>
        <v>0</v>
      </c>
      <c r="AG2466" s="93">
        <f t="shared" si="500"/>
        <v>0</v>
      </c>
      <c r="AH2466" s="93">
        <f t="shared" si="501"/>
        <v>0</v>
      </c>
      <c r="AI2466" s="88" t="s">
        <v>55</v>
      </c>
      <c r="AJ2466" s="93">
        <f t="shared" si="502"/>
        <v>0</v>
      </c>
      <c r="AK2466" s="93">
        <f t="shared" si="503"/>
        <v>0</v>
      </c>
      <c r="AL2466" s="93">
        <f t="shared" si="504"/>
        <v>0</v>
      </c>
      <c r="AN2466" s="93">
        <v>21</v>
      </c>
      <c r="AO2466" s="93">
        <f>H2466*0.525397924</f>
        <v>0</v>
      </c>
      <c r="AP2466" s="93">
        <f>H2466*(1-0.525397924)</f>
        <v>0</v>
      </c>
      <c r="AQ2466" s="94" t="s">
        <v>148</v>
      </c>
      <c r="AV2466" s="93">
        <f t="shared" si="505"/>
        <v>0</v>
      </c>
      <c r="AW2466" s="93">
        <f t="shared" si="506"/>
        <v>0</v>
      </c>
      <c r="AX2466" s="93">
        <f t="shared" si="507"/>
        <v>0</v>
      </c>
      <c r="AY2466" s="94" t="s">
        <v>3131</v>
      </c>
      <c r="AZ2466" s="94" t="s">
        <v>2927</v>
      </c>
      <c r="BA2466" s="88" t="s">
        <v>67</v>
      </c>
      <c r="BC2466" s="93">
        <f t="shared" si="508"/>
        <v>0</v>
      </c>
      <c r="BD2466" s="93">
        <f t="shared" si="509"/>
        <v>0</v>
      </c>
      <c r="BE2466" s="93">
        <v>0</v>
      </c>
      <c r="BF2466" s="93">
        <f t="shared" si="510"/>
        <v>1.5540000000000002E-2</v>
      </c>
      <c r="BH2466" s="93">
        <f t="shared" si="511"/>
        <v>0</v>
      </c>
      <c r="BI2466" s="93">
        <f t="shared" si="512"/>
        <v>0</v>
      </c>
      <c r="BJ2466" s="93">
        <f t="shared" si="513"/>
        <v>0</v>
      </c>
      <c r="BK2466" s="93"/>
      <c r="BL2466" s="93"/>
      <c r="BW2466" s="93" t="str">
        <f t="shared" si="514"/>
        <v>21</v>
      </c>
      <c r="BX2466" s="2" t="s">
        <v>3330</v>
      </c>
    </row>
    <row r="2467" spans="1:76" s="81" customFormat="1" ht="25.5" x14ac:dyDescent="0.25">
      <c r="A2467" s="66" t="s">
        <v>3340</v>
      </c>
      <c r="B2467" s="72" t="s">
        <v>55</v>
      </c>
      <c r="C2467" s="72" t="s">
        <v>3332</v>
      </c>
      <c r="D2467" s="174" t="s">
        <v>3333</v>
      </c>
      <c r="E2467" s="174"/>
      <c r="F2467" s="72" t="s">
        <v>213</v>
      </c>
      <c r="G2467" s="90">
        <v>35</v>
      </c>
      <c r="H2467" s="91"/>
      <c r="I2467" s="92" t="s">
        <v>63</v>
      </c>
      <c r="J2467" s="90">
        <f t="shared" si="489"/>
        <v>0</v>
      </c>
      <c r="K2467" s="90">
        <f t="shared" si="490"/>
        <v>0</v>
      </c>
      <c r="L2467" s="90">
        <f t="shared" si="491"/>
        <v>0</v>
      </c>
      <c r="M2467" s="90">
        <f t="shared" si="492"/>
        <v>0</v>
      </c>
      <c r="N2467" s="90">
        <v>6.0000000000000001E-3</v>
      </c>
      <c r="O2467" s="90">
        <f t="shared" si="493"/>
        <v>0.21</v>
      </c>
      <c r="P2467" s="92" t="s">
        <v>64</v>
      </c>
      <c r="Z2467" s="93">
        <f t="shared" si="494"/>
        <v>0</v>
      </c>
      <c r="AB2467" s="93">
        <f t="shared" si="495"/>
        <v>0</v>
      </c>
      <c r="AC2467" s="93">
        <f t="shared" si="496"/>
        <v>0</v>
      </c>
      <c r="AD2467" s="93">
        <f t="shared" si="497"/>
        <v>0</v>
      </c>
      <c r="AE2467" s="93">
        <f t="shared" si="498"/>
        <v>0</v>
      </c>
      <c r="AF2467" s="93">
        <f t="shared" si="499"/>
        <v>0</v>
      </c>
      <c r="AG2467" s="93">
        <f t="shared" si="500"/>
        <v>0</v>
      </c>
      <c r="AH2467" s="93">
        <f t="shared" si="501"/>
        <v>0</v>
      </c>
      <c r="AI2467" s="88" t="s">
        <v>55</v>
      </c>
      <c r="AJ2467" s="93">
        <f t="shared" si="502"/>
        <v>0</v>
      </c>
      <c r="AK2467" s="93">
        <f t="shared" si="503"/>
        <v>0</v>
      </c>
      <c r="AL2467" s="93">
        <f t="shared" si="504"/>
        <v>0</v>
      </c>
      <c r="AN2467" s="93">
        <v>21</v>
      </c>
      <c r="AO2467" s="93">
        <f>H2467*0.559139506</f>
        <v>0</v>
      </c>
      <c r="AP2467" s="93">
        <f>H2467*(1-0.559139506)</f>
        <v>0</v>
      </c>
      <c r="AQ2467" s="94" t="s">
        <v>148</v>
      </c>
      <c r="AV2467" s="93">
        <f t="shared" si="505"/>
        <v>0</v>
      </c>
      <c r="AW2467" s="93">
        <f t="shared" si="506"/>
        <v>0</v>
      </c>
      <c r="AX2467" s="93">
        <f t="shared" si="507"/>
        <v>0</v>
      </c>
      <c r="AY2467" s="94" t="s">
        <v>3131</v>
      </c>
      <c r="AZ2467" s="94" t="s">
        <v>2927</v>
      </c>
      <c r="BA2467" s="88" t="s">
        <v>67</v>
      </c>
      <c r="BC2467" s="93">
        <f t="shared" si="508"/>
        <v>0</v>
      </c>
      <c r="BD2467" s="93">
        <f t="shared" si="509"/>
        <v>0</v>
      </c>
      <c r="BE2467" s="93">
        <v>0</v>
      </c>
      <c r="BF2467" s="93">
        <f t="shared" si="510"/>
        <v>0.21</v>
      </c>
      <c r="BH2467" s="93">
        <f t="shared" si="511"/>
        <v>0</v>
      </c>
      <c r="BI2467" s="93">
        <f t="shared" si="512"/>
        <v>0</v>
      </c>
      <c r="BJ2467" s="93">
        <f t="shared" si="513"/>
        <v>0</v>
      </c>
      <c r="BK2467" s="93"/>
      <c r="BL2467" s="93"/>
      <c r="BW2467" s="93" t="str">
        <f t="shared" si="514"/>
        <v>21</v>
      </c>
      <c r="BX2467" s="2" t="s">
        <v>3333</v>
      </c>
    </row>
    <row r="2468" spans="1:76" s="81" customFormat="1" ht="25.5" x14ac:dyDescent="0.25">
      <c r="A2468" s="66" t="s">
        <v>3343</v>
      </c>
      <c r="B2468" s="72" t="s">
        <v>55</v>
      </c>
      <c r="C2468" s="72" t="s">
        <v>3335</v>
      </c>
      <c r="D2468" s="174" t="s">
        <v>3336</v>
      </c>
      <c r="E2468" s="174"/>
      <c r="F2468" s="72" t="s">
        <v>213</v>
      </c>
      <c r="G2468" s="90">
        <v>30</v>
      </c>
      <c r="H2468" s="91"/>
      <c r="I2468" s="92" t="s">
        <v>63</v>
      </c>
      <c r="J2468" s="90">
        <f t="shared" si="489"/>
        <v>0</v>
      </c>
      <c r="K2468" s="90">
        <f t="shared" si="490"/>
        <v>0</v>
      </c>
      <c r="L2468" s="90">
        <f t="shared" si="491"/>
        <v>0</v>
      </c>
      <c r="M2468" s="90">
        <f t="shared" si="492"/>
        <v>0</v>
      </c>
      <c r="N2468" s="90">
        <v>1.6100000000000001E-3</v>
      </c>
      <c r="O2468" s="90">
        <f t="shared" si="493"/>
        <v>4.8300000000000003E-2</v>
      </c>
      <c r="P2468" s="92" t="s">
        <v>64</v>
      </c>
      <c r="Z2468" s="93">
        <f t="shared" si="494"/>
        <v>0</v>
      </c>
      <c r="AB2468" s="93">
        <f t="shared" si="495"/>
        <v>0</v>
      </c>
      <c r="AC2468" s="93">
        <f t="shared" si="496"/>
        <v>0</v>
      </c>
      <c r="AD2468" s="93">
        <f t="shared" si="497"/>
        <v>0</v>
      </c>
      <c r="AE2468" s="93">
        <f t="shared" si="498"/>
        <v>0</v>
      </c>
      <c r="AF2468" s="93">
        <f t="shared" si="499"/>
        <v>0</v>
      </c>
      <c r="AG2468" s="93">
        <f t="shared" si="500"/>
        <v>0</v>
      </c>
      <c r="AH2468" s="93">
        <f t="shared" si="501"/>
        <v>0</v>
      </c>
      <c r="AI2468" s="88" t="s">
        <v>55</v>
      </c>
      <c r="AJ2468" s="93">
        <f t="shared" si="502"/>
        <v>0</v>
      </c>
      <c r="AK2468" s="93">
        <f t="shared" si="503"/>
        <v>0</v>
      </c>
      <c r="AL2468" s="93">
        <f t="shared" si="504"/>
        <v>0</v>
      </c>
      <c r="AN2468" s="93">
        <v>21</v>
      </c>
      <c r="AO2468" s="93">
        <f>H2468*0.899322603</f>
        <v>0</v>
      </c>
      <c r="AP2468" s="93">
        <f>H2468*(1-0.899322603)</f>
        <v>0</v>
      </c>
      <c r="AQ2468" s="94" t="s">
        <v>148</v>
      </c>
      <c r="AV2468" s="93">
        <f t="shared" si="505"/>
        <v>0</v>
      </c>
      <c r="AW2468" s="93">
        <f t="shared" si="506"/>
        <v>0</v>
      </c>
      <c r="AX2468" s="93">
        <f t="shared" si="507"/>
        <v>0</v>
      </c>
      <c r="AY2468" s="94" t="s">
        <v>3131</v>
      </c>
      <c r="AZ2468" s="94" t="s">
        <v>2927</v>
      </c>
      <c r="BA2468" s="88" t="s">
        <v>67</v>
      </c>
      <c r="BC2468" s="93">
        <f t="shared" si="508"/>
        <v>0</v>
      </c>
      <c r="BD2468" s="93">
        <f t="shared" si="509"/>
        <v>0</v>
      </c>
      <c r="BE2468" s="93">
        <v>0</v>
      </c>
      <c r="BF2468" s="93">
        <f t="shared" si="510"/>
        <v>4.8300000000000003E-2</v>
      </c>
      <c r="BH2468" s="93">
        <f t="shared" si="511"/>
        <v>0</v>
      </c>
      <c r="BI2468" s="93">
        <f t="shared" si="512"/>
        <v>0</v>
      </c>
      <c r="BJ2468" s="93">
        <f t="shared" si="513"/>
        <v>0</v>
      </c>
      <c r="BK2468" s="93"/>
      <c r="BL2468" s="93"/>
      <c r="BW2468" s="93" t="str">
        <f t="shared" si="514"/>
        <v>21</v>
      </c>
      <c r="BX2468" s="2" t="s">
        <v>3336</v>
      </c>
    </row>
    <row r="2469" spans="1:76" s="81" customFormat="1" ht="25.5" x14ac:dyDescent="0.25">
      <c r="A2469" s="66" t="s">
        <v>3346</v>
      </c>
      <c r="B2469" s="72" t="s">
        <v>55</v>
      </c>
      <c r="C2469" s="72" t="s">
        <v>3338</v>
      </c>
      <c r="D2469" s="174" t="s">
        <v>3339</v>
      </c>
      <c r="E2469" s="174"/>
      <c r="F2469" s="72" t="s">
        <v>213</v>
      </c>
      <c r="G2469" s="90">
        <v>25</v>
      </c>
      <c r="H2469" s="91"/>
      <c r="I2469" s="92" t="s">
        <v>63</v>
      </c>
      <c r="J2469" s="90">
        <f t="shared" si="489"/>
        <v>0</v>
      </c>
      <c r="K2469" s="90">
        <f t="shared" si="490"/>
        <v>0</v>
      </c>
      <c r="L2469" s="90">
        <f t="shared" si="491"/>
        <v>0</v>
      </c>
      <c r="M2469" s="90">
        <f t="shared" si="492"/>
        <v>0</v>
      </c>
      <c r="N2469" s="90">
        <v>1.14E-3</v>
      </c>
      <c r="O2469" s="90">
        <f t="shared" si="493"/>
        <v>2.8499999999999998E-2</v>
      </c>
      <c r="P2469" s="92" t="s">
        <v>64</v>
      </c>
      <c r="Z2469" s="93">
        <f t="shared" si="494"/>
        <v>0</v>
      </c>
      <c r="AB2469" s="93">
        <f t="shared" si="495"/>
        <v>0</v>
      </c>
      <c r="AC2469" s="93">
        <f t="shared" si="496"/>
        <v>0</v>
      </c>
      <c r="AD2469" s="93">
        <f t="shared" si="497"/>
        <v>0</v>
      </c>
      <c r="AE2469" s="93">
        <f t="shared" si="498"/>
        <v>0</v>
      </c>
      <c r="AF2469" s="93">
        <f t="shared" si="499"/>
        <v>0</v>
      </c>
      <c r="AG2469" s="93">
        <f t="shared" si="500"/>
        <v>0</v>
      </c>
      <c r="AH2469" s="93">
        <f t="shared" si="501"/>
        <v>0</v>
      </c>
      <c r="AI2469" s="88" t="s">
        <v>55</v>
      </c>
      <c r="AJ2469" s="93">
        <f t="shared" si="502"/>
        <v>0</v>
      </c>
      <c r="AK2469" s="93">
        <f t="shared" si="503"/>
        <v>0</v>
      </c>
      <c r="AL2469" s="93">
        <f t="shared" si="504"/>
        <v>0</v>
      </c>
      <c r="AN2469" s="93">
        <v>21</v>
      </c>
      <c r="AO2469" s="93">
        <f>H2469*0.876032736</f>
        <v>0</v>
      </c>
      <c r="AP2469" s="93">
        <f>H2469*(1-0.876032736)</f>
        <v>0</v>
      </c>
      <c r="AQ2469" s="94" t="s">
        <v>148</v>
      </c>
      <c r="AV2469" s="93">
        <f t="shared" si="505"/>
        <v>0</v>
      </c>
      <c r="AW2469" s="93">
        <f t="shared" si="506"/>
        <v>0</v>
      </c>
      <c r="AX2469" s="93">
        <f t="shared" si="507"/>
        <v>0</v>
      </c>
      <c r="AY2469" s="94" t="s">
        <v>3131</v>
      </c>
      <c r="AZ2469" s="94" t="s">
        <v>2927</v>
      </c>
      <c r="BA2469" s="88" t="s">
        <v>67</v>
      </c>
      <c r="BC2469" s="93">
        <f t="shared" si="508"/>
        <v>0</v>
      </c>
      <c r="BD2469" s="93">
        <f t="shared" si="509"/>
        <v>0</v>
      </c>
      <c r="BE2469" s="93">
        <v>0</v>
      </c>
      <c r="BF2469" s="93">
        <f t="shared" si="510"/>
        <v>2.8499999999999998E-2</v>
      </c>
      <c r="BH2469" s="93">
        <f t="shared" si="511"/>
        <v>0</v>
      </c>
      <c r="BI2469" s="93">
        <f t="shared" si="512"/>
        <v>0</v>
      </c>
      <c r="BJ2469" s="93">
        <f t="shared" si="513"/>
        <v>0</v>
      </c>
      <c r="BK2469" s="93"/>
      <c r="BL2469" s="93"/>
      <c r="BW2469" s="93" t="str">
        <f t="shared" si="514"/>
        <v>21</v>
      </c>
      <c r="BX2469" s="2" t="s">
        <v>3339</v>
      </c>
    </row>
    <row r="2470" spans="1:76" s="81" customFormat="1" ht="25.5" x14ac:dyDescent="0.25">
      <c r="A2470" s="66" t="s">
        <v>3349</v>
      </c>
      <c r="B2470" s="72" t="s">
        <v>55</v>
      </c>
      <c r="C2470" s="72" t="s">
        <v>3341</v>
      </c>
      <c r="D2470" s="174" t="s">
        <v>3342</v>
      </c>
      <c r="E2470" s="174"/>
      <c r="F2470" s="72" t="s">
        <v>203</v>
      </c>
      <c r="G2470" s="90">
        <v>23</v>
      </c>
      <c r="H2470" s="91"/>
      <c r="I2470" s="92" t="s">
        <v>63</v>
      </c>
      <c r="J2470" s="90">
        <f t="shared" si="489"/>
        <v>0</v>
      </c>
      <c r="K2470" s="90">
        <f t="shared" si="490"/>
        <v>0</v>
      </c>
      <c r="L2470" s="90">
        <f t="shared" si="491"/>
        <v>0</v>
      </c>
      <c r="M2470" s="90">
        <f t="shared" si="492"/>
        <v>0</v>
      </c>
      <c r="N2470" s="90">
        <v>2.5999999999999998E-4</v>
      </c>
      <c r="O2470" s="90">
        <f t="shared" si="493"/>
        <v>5.9799999999999992E-3</v>
      </c>
      <c r="P2470" s="92" t="s">
        <v>64</v>
      </c>
      <c r="Z2470" s="93">
        <f t="shared" si="494"/>
        <v>0</v>
      </c>
      <c r="AB2470" s="93">
        <f t="shared" si="495"/>
        <v>0</v>
      </c>
      <c r="AC2470" s="93">
        <f t="shared" si="496"/>
        <v>0</v>
      </c>
      <c r="AD2470" s="93">
        <f t="shared" si="497"/>
        <v>0</v>
      </c>
      <c r="AE2470" s="93">
        <f t="shared" si="498"/>
        <v>0</v>
      </c>
      <c r="AF2470" s="93">
        <f t="shared" si="499"/>
        <v>0</v>
      </c>
      <c r="AG2470" s="93">
        <f t="shared" si="500"/>
        <v>0</v>
      </c>
      <c r="AH2470" s="93">
        <f t="shared" si="501"/>
        <v>0</v>
      </c>
      <c r="AI2470" s="88" t="s">
        <v>55</v>
      </c>
      <c r="AJ2470" s="93">
        <f t="shared" si="502"/>
        <v>0</v>
      </c>
      <c r="AK2470" s="93">
        <f t="shared" si="503"/>
        <v>0</v>
      </c>
      <c r="AL2470" s="93">
        <f t="shared" si="504"/>
        <v>0</v>
      </c>
      <c r="AN2470" s="93">
        <v>21</v>
      </c>
      <c r="AO2470" s="93">
        <f>H2470*0.813333333</f>
        <v>0</v>
      </c>
      <c r="AP2470" s="93">
        <f>H2470*(1-0.813333333)</f>
        <v>0</v>
      </c>
      <c r="AQ2470" s="94" t="s">
        <v>148</v>
      </c>
      <c r="AV2470" s="93">
        <f t="shared" si="505"/>
        <v>0</v>
      </c>
      <c r="AW2470" s="93">
        <f t="shared" si="506"/>
        <v>0</v>
      </c>
      <c r="AX2470" s="93">
        <f t="shared" si="507"/>
        <v>0</v>
      </c>
      <c r="AY2470" s="94" t="s">
        <v>3131</v>
      </c>
      <c r="AZ2470" s="94" t="s">
        <v>2927</v>
      </c>
      <c r="BA2470" s="88" t="s">
        <v>67</v>
      </c>
      <c r="BC2470" s="93">
        <f t="shared" si="508"/>
        <v>0</v>
      </c>
      <c r="BD2470" s="93">
        <f t="shared" si="509"/>
        <v>0</v>
      </c>
      <c r="BE2470" s="93">
        <v>0</v>
      </c>
      <c r="BF2470" s="93">
        <f t="shared" si="510"/>
        <v>5.9799999999999992E-3</v>
      </c>
      <c r="BH2470" s="93">
        <f t="shared" si="511"/>
        <v>0</v>
      </c>
      <c r="BI2470" s="93">
        <f t="shared" si="512"/>
        <v>0</v>
      </c>
      <c r="BJ2470" s="93">
        <f t="shared" si="513"/>
        <v>0</v>
      </c>
      <c r="BK2470" s="93"/>
      <c r="BL2470" s="93"/>
      <c r="BW2470" s="93" t="str">
        <f t="shared" si="514"/>
        <v>21</v>
      </c>
      <c r="BX2470" s="2" t="s">
        <v>3342</v>
      </c>
    </row>
    <row r="2471" spans="1:76" s="81" customFormat="1" ht="25.5" x14ac:dyDescent="0.25">
      <c r="A2471" s="66" t="s">
        <v>3352</v>
      </c>
      <c r="B2471" s="72" t="s">
        <v>55</v>
      </c>
      <c r="C2471" s="72" t="s">
        <v>3344</v>
      </c>
      <c r="D2471" s="174" t="s">
        <v>3345</v>
      </c>
      <c r="E2471" s="174"/>
      <c r="F2471" s="72" t="s">
        <v>203</v>
      </c>
      <c r="G2471" s="90">
        <v>7</v>
      </c>
      <c r="H2471" s="91"/>
      <c r="I2471" s="92" t="s">
        <v>63</v>
      </c>
      <c r="J2471" s="90">
        <f t="shared" si="489"/>
        <v>0</v>
      </c>
      <c r="K2471" s="90">
        <f t="shared" si="490"/>
        <v>0</v>
      </c>
      <c r="L2471" s="90">
        <f t="shared" si="491"/>
        <v>0</v>
      </c>
      <c r="M2471" s="90">
        <f t="shared" si="492"/>
        <v>0</v>
      </c>
      <c r="N2471" s="90">
        <v>3.8999999999999999E-4</v>
      </c>
      <c r="O2471" s="90">
        <f t="shared" si="493"/>
        <v>2.7299999999999998E-3</v>
      </c>
      <c r="P2471" s="92" t="s">
        <v>64</v>
      </c>
      <c r="Z2471" s="93">
        <f t="shared" si="494"/>
        <v>0</v>
      </c>
      <c r="AB2471" s="93">
        <f t="shared" si="495"/>
        <v>0</v>
      </c>
      <c r="AC2471" s="93">
        <f t="shared" si="496"/>
        <v>0</v>
      </c>
      <c r="AD2471" s="93">
        <f t="shared" si="497"/>
        <v>0</v>
      </c>
      <c r="AE2471" s="93">
        <f t="shared" si="498"/>
        <v>0</v>
      </c>
      <c r="AF2471" s="93">
        <f t="shared" si="499"/>
        <v>0</v>
      </c>
      <c r="AG2471" s="93">
        <f t="shared" si="500"/>
        <v>0</v>
      </c>
      <c r="AH2471" s="93">
        <f t="shared" si="501"/>
        <v>0</v>
      </c>
      <c r="AI2471" s="88" t="s">
        <v>55</v>
      </c>
      <c r="AJ2471" s="93">
        <f t="shared" si="502"/>
        <v>0</v>
      </c>
      <c r="AK2471" s="93">
        <f t="shared" si="503"/>
        <v>0</v>
      </c>
      <c r="AL2471" s="93">
        <f t="shared" si="504"/>
        <v>0</v>
      </c>
      <c r="AN2471" s="93">
        <v>21</v>
      </c>
      <c r="AO2471" s="93">
        <f>H2471*0.819752705</f>
        <v>0</v>
      </c>
      <c r="AP2471" s="93">
        <f>H2471*(1-0.819752705)</f>
        <v>0</v>
      </c>
      <c r="AQ2471" s="94" t="s">
        <v>148</v>
      </c>
      <c r="AV2471" s="93">
        <f t="shared" si="505"/>
        <v>0</v>
      </c>
      <c r="AW2471" s="93">
        <f t="shared" si="506"/>
        <v>0</v>
      </c>
      <c r="AX2471" s="93">
        <f t="shared" si="507"/>
        <v>0</v>
      </c>
      <c r="AY2471" s="94" t="s">
        <v>3131</v>
      </c>
      <c r="AZ2471" s="94" t="s">
        <v>2927</v>
      </c>
      <c r="BA2471" s="88" t="s">
        <v>67</v>
      </c>
      <c r="BC2471" s="93">
        <f t="shared" si="508"/>
        <v>0</v>
      </c>
      <c r="BD2471" s="93">
        <f t="shared" si="509"/>
        <v>0</v>
      </c>
      <c r="BE2471" s="93">
        <v>0</v>
      </c>
      <c r="BF2471" s="93">
        <f t="shared" si="510"/>
        <v>2.7299999999999998E-3</v>
      </c>
      <c r="BH2471" s="93">
        <f t="shared" si="511"/>
        <v>0</v>
      </c>
      <c r="BI2471" s="93">
        <f t="shared" si="512"/>
        <v>0</v>
      </c>
      <c r="BJ2471" s="93">
        <f t="shared" si="513"/>
        <v>0</v>
      </c>
      <c r="BK2471" s="93"/>
      <c r="BL2471" s="93"/>
      <c r="BW2471" s="93" t="str">
        <f t="shared" si="514"/>
        <v>21</v>
      </c>
      <c r="BX2471" s="2" t="s">
        <v>3345</v>
      </c>
    </row>
    <row r="2472" spans="1:76" s="81" customFormat="1" ht="25.5" x14ac:dyDescent="0.25">
      <c r="A2472" s="66" t="s">
        <v>3355</v>
      </c>
      <c r="B2472" s="72" t="s">
        <v>55</v>
      </c>
      <c r="C2472" s="72" t="s">
        <v>3347</v>
      </c>
      <c r="D2472" s="174" t="s">
        <v>3348</v>
      </c>
      <c r="E2472" s="174"/>
      <c r="F2472" s="72" t="s">
        <v>203</v>
      </c>
      <c r="G2472" s="90">
        <v>1</v>
      </c>
      <c r="H2472" s="91"/>
      <c r="I2472" s="92" t="s">
        <v>63</v>
      </c>
      <c r="J2472" s="90">
        <f t="shared" si="489"/>
        <v>0</v>
      </c>
      <c r="K2472" s="90">
        <f t="shared" si="490"/>
        <v>0</v>
      </c>
      <c r="L2472" s="90">
        <f t="shared" si="491"/>
        <v>0</v>
      </c>
      <c r="M2472" s="90">
        <f t="shared" si="492"/>
        <v>0</v>
      </c>
      <c r="N2472" s="90">
        <v>1.0399999999999999E-3</v>
      </c>
      <c r="O2472" s="90">
        <f t="shared" si="493"/>
        <v>1.0399999999999999E-3</v>
      </c>
      <c r="P2472" s="92" t="s">
        <v>64</v>
      </c>
      <c r="Z2472" s="93">
        <f t="shared" si="494"/>
        <v>0</v>
      </c>
      <c r="AB2472" s="93">
        <f t="shared" si="495"/>
        <v>0</v>
      </c>
      <c r="AC2472" s="93">
        <f t="shared" si="496"/>
        <v>0</v>
      </c>
      <c r="AD2472" s="93">
        <f t="shared" si="497"/>
        <v>0</v>
      </c>
      <c r="AE2472" s="93">
        <f t="shared" si="498"/>
        <v>0</v>
      </c>
      <c r="AF2472" s="93">
        <f t="shared" si="499"/>
        <v>0</v>
      </c>
      <c r="AG2472" s="93">
        <f t="shared" si="500"/>
        <v>0</v>
      </c>
      <c r="AH2472" s="93">
        <f t="shared" si="501"/>
        <v>0</v>
      </c>
      <c r="AI2472" s="88" t="s">
        <v>55</v>
      </c>
      <c r="AJ2472" s="93">
        <f t="shared" si="502"/>
        <v>0</v>
      </c>
      <c r="AK2472" s="93">
        <f t="shared" si="503"/>
        <v>0</v>
      </c>
      <c r="AL2472" s="93">
        <f t="shared" si="504"/>
        <v>0</v>
      </c>
      <c r="AN2472" s="93">
        <v>21</v>
      </c>
      <c r="AO2472" s="93">
        <f>H2472*0.859239436</f>
        <v>0</v>
      </c>
      <c r="AP2472" s="93">
        <f>H2472*(1-0.859239436)</f>
        <v>0</v>
      </c>
      <c r="AQ2472" s="94" t="s">
        <v>148</v>
      </c>
      <c r="AV2472" s="93">
        <f t="shared" si="505"/>
        <v>0</v>
      </c>
      <c r="AW2472" s="93">
        <f t="shared" si="506"/>
        <v>0</v>
      </c>
      <c r="AX2472" s="93">
        <f t="shared" si="507"/>
        <v>0</v>
      </c>
      <c r="AY2472" s="94" t="s">
        <v>3131</v>
      </c>
      <c r="AZ2472" s="94" t="s">
        <v>2927</v>
      </c>
      <c r="BA2472" s="88" t="s">
        <v>67</v>
      </c>
      <c r="BC2472" s="93">
        <f t="shared" si="508"/>
        <v>0</v>
      </c>
      <c r="BD2472" s="93">
        <f t="shared" si="509"/>
        <v>0</v>
      </c>
      <c r="BE2472" s="93">
        <v>0</v>
      </c>
      <c r="BF2472" s="93">
        <f t="shared" si="510"/>
        <v>1.0399999999999999E-3</v>
      </c>
      <c r="BH2472" s="93">
        <f t="shared" si="511"/>
        <v>0</v>
      </c>
      <c r="BI2472" s="93">
        <f t="shared" si="512"/>
        <v>0</v>
      </c>
      <c r="BJ2472" s="93">
        <f t="shared" si="513"/>
        <v>0</v>
      </c>
      <c r="BK2472" s="93"/>
      <c r="BL2472" s="93"/>
      <c r="BW2472" s="93" t="str">
        <f t="shared" si="514"/>
        <v>21</v>
      </c>
      <c r="BX2472" s="2" t="s">
        <v>3348</v>
      </c>
    </row>
    <row r="2473" spans="1:76" s="81" customFormat="1" ht="25.5" x14ac:dyDescent="0.25">
      <c r="A2473" s="66" t="s">
        <v>3358</v>
      </c>
      <c r="B2473" s="72" t="s">
        <v>55</v>
      </c>
      <c r="C2473" s="72" t="s">
        <v>3350</v>
      </c>
      <c r="D2473" s="174" t="s">
        <v>3351</v>
      </c>
      <c r="E2473" s="174"/>
      <c r="F2473" s="72" t="s">
        <v>203</v>
      </c>
      <c r="G2473" s="90">
        <v>3</v>
      </c>
      <c r="H2473" s="91"/>
      <c r="I2473" s="92" t="s">
        <v>63</v>
      </c>
      <c r="J2473" s="90">
        <f t="shared" si="489"/>
        <v>0</v>
      </c>
      <c r="K2473" s="90">
        <f t="shared" si="490"/>
        <v>0</v>
      </c>
      <c r="L2473" s="90">
        <f t="shared" si="491"/>
        <v>0</v>
      </c>
      <c r="M2473" s="90">
        <f t="shared" si="492"/>
        <v>0</v>
      </c>
      <c r="N2473" s="90">
        <v>6.8000000000000005E-4</v>
      </c>
      <c r="O2473" s="90">
        <f t="shared" si="493"/>
        <v>2.0400000000000001E-3</v>
      </c>
      <c r="P2473" s="92" t="s">
        <v>64</v>
      </c>
      <c r="Z2473" s="93">
        <f t="shared" si="494"/>
        <v>0</v>
      </c>
      <c r="AB2473" s="93">
        <f t="shared" si="495"/>
        <v>0</v>
      </c>
      <c r="AC2473" s="93">
        <f t="shared" si="496"/>
        <v>0</v>
      </c>
      <c r="AD2473" s="93">
        <f t="shared" si="497"/>
        <v>0</v>
      </c>
      <c r="AE2473" s="93">
        <f t="shared" si="498"/>
        <v>0</v>
      </c>
      <c r="AF2473" s="93">
        <f t="shared" si="499"/>
        <v>0</v>
      </c>
      <c r="AG2473" s="93">
        <f t="shared" si="500"/>
        <v>0</v>
      </c>
      <c r="AH2473" s="93">
        <f t="shared" si="501"/>
        <v>0</v>
      </c>
      <c r="AI2473" s="88" t="s">
        <v>55</v>
      </c>
      <c r="AJ2473" s="93">
        <f t="shared" si="502"/>
        <v>0</v>
      </c>
      <c r="AK2473" s="93">
        <f t="shared" si="503"/>
        <v>0</v>
      </c>
      <c r="AL2473" s="93">
        <f t="shared" si="504"/>
        <v>0</v>
      </c>
      <c r="AN2473" s="93">
        <v>21</v>
      </c>
      <c r="AO2473" s="93">
        <f>H2473*0.843601651</f>
        <v>0</v>
      </c>
      <c r="AP2473" s="93">
        <f>H2473*(1-0.843601651)</f>
        <v>0</v>
      </c>
      <c r="AQ2473" s="94" t="s">
        <v>148</v>
      </c>
      <c r="AV2473" s="93">
        <f t="shared" si="505"/>
        <v>0</v>
      </c>
      <c r="AW2473" s="93">
        <f t="shared" si="506"/>
        <v>0</v>
      </c>
      <c r="AX2473" s="93">
        <f t="shared" si="507"/>
        <v>0</v>
      </c>
      <c r="AY2473" s="94" t="s">
        <v>3131</v>
      </c>
      <c r="AZ2473" s="94" t="s">
        <v>2927</v>
      </c>
      <c r="BA2473" s="88" t="s">
        <v>67</v>
      </c>
      <c r="BC2473" s="93">
        <f t="shared" si="508"/>
        <v>0</v>
      </c>
      <c r="BD2473" s="93">
        <f t="shared" si="509"/>
        <v>0</v>
      </c>
      <c r="BE2473" s="93">
        <v>0</v>
      </c>
      <c r="BF2473" s="93">
        <f t="shared" si="510"/>
        <v>2.0400000000000001E-3</v>
      </c>
      <c r="BH2473" s="93">
        <f t="shared" si="511"/>
        <v>0</v>
      </c>
      <c r="BI2473" s="93">
        <f t="shared" si="512"/>
        <v>0</v>
      </c>
      <c r="BJ2473" s="93">
        <f t="shared" si="513"/>
        <v>0</v>
      </c>
      <c r="BK2473" s="93"/>
      <c r="BL2473" s="93"/>
      <c r="BW2473" s="93" t="str">
        <f t="shared" si="514"/>
        <v>21</v>
      </c>
      <c r="BX2473" s="2" t="s">
        <v>3351</v>
      </c>
    </row>
    <row r="2474" spans="1:76" s="81" customFormat="1" ht="25.5" x14ac:dyDescent="0.25">
      <c r="A2474" s="66" t="s">
        <v>3361</v>
      </c>
      <c r="B2474" s="72" t="s">
        <v>55</v>
      </c>
      <c r="C2474" s="72" t="s">
        <v>3353</v>
      </c>
      <c r="D2474" s="174" t="s">
        <v>3354</v>
      </c>
      <c r="E2474" s="174"/>
      <c r="F2474" s="72" t="s">
        <v>203</v>
      </c>
      <c r="G2474" s="90">
        <v>2</v>
      </c>
      <c r="H2474" s="91"/>
      <c r="I2474" s="92" t="s">
        <v>63</v>
      </c>
      <c r="J2474" s="90">
        <f t="shared" si="489"/>
        <v>0</v>
      </c>
      <c r="K2474" s="90">
        <f t="shared" si="490"/>
        <v>0</v>
      </c>
      <c r="L2474" s="90">
        <f t="shared" si="491"/>
        <v>0</v>
      </c>
      <c r="M2474" s="90">
        <f t="shared" si="492"/>
        <v>0</v>
      </c>
      <c r="N2474" s="90">
        <v>3.1E-4</v>
      </c>
      <c r="O2474" s="90">
        <f t="shared" si="493"/>
        <v>6.2E-4</v>
      </c>
      <c r="P2474" s="92" t="s">
        <v>64</v>
      </c>
      <c r="Z2474" s="93">
        <f t="shared" si="494"/>
        <v>0</v>
      </c>
      <c r="AB2474" s="93">
        <f t="shared" si="495"/>
        <v>0</v>
      </c>
      <c r="AC2474" s="93">
        <f t="shared" si="496"/>
        <v>0</v>
      </c>
      <c r="AD2474" s="93">
        <f t="shared" si="497"/>
        <v>0</v>
      </c>
      <c r="AE2474" s="93">
        <f t="shared" si="498"/>
        <v>0</v>
      </c>
      <c r="AF2474" s="93">
        <f t="shared" si="499"/>
        <v>0</v>
      </c>
      <c r="AG2474" s="93">
        <f t="shared" si="500"/>
        <v>0</v>
      </c>
      <c r="AH2474" s="93">
        <f t="shared" si="501"/>
        <v>0</v>
      </c>
      <c r="AI2474" s="88" t="s">
        <v>55</v>
      </c>
      <c r="AJ2474" s="93">
        <f t="shared" si="502"/>
        <v>0</v>
      </c>
      <c r="AK2474" s="93">
        <f t="shared" si="503"/>
        <v>0</v>
      </c>
      <c r="AL2474" s="93">
        <f t="shared" si="504"/>
        <v>0</v>
      </c>
      <c r="AN2474" s="93">
        <v>21</v>
      </c>
      <c r="AO2474" s="93">
        <f>H2474*0.759546392</f>
        <v>0</v>
      </c>
      <c r="AP2474" s="93">
        <f>H2474*(1-0.759546392)</f>
        <v>0</v>
      </c>
      <c r="AQ2474" s="94" t="s">
        <v>148</v>
      </c>
      <c r="AV2474" s="93">
        <f t="shared" si="505"/>
        <v>0</v>
      </c>
      <c r="AW2474" s="93">
        <f t="shared" si="506"/>
        <v>0</v>
      </c>
      <c r="AX2474" s="93">
        <f t="shared" si="507"/>
        <v>0</v>
      </c>
      <c r="AY2474" s="94" t="s">
        <v>3131</v>
      </c>
      <c r="AZ2474" s="94" t="s">
        <v>2927</v>
      </c>
      <c r="BA2474" s="88" t="s">
        <v>67</v>
      </c>
      <c r="BC2474" s="93">
        <f t="shared" si="508"/>
        <v>0</v>
      </c>
      <c r="BD2474" s="93">
        <f t="shared" si="509"/>
        <v>0</v>
      </c>
      <c r="BE2474" s="93">
        <v>0</v>
      </c>
      <c r="BF2474" s="93">
        <f t="shared" si="510"/>
        <v>6.2E-4</v>
      </c>
      <c r="BH2474" s="93">
        <f t="shared" si="511"/>
        <v>0</v>
      </c>
      <c r="BI2474" s="93">
        <f t="shared" si="512"/>
        <v>0</v>
      </c>
      <c r="BJ2474" s="93">
        <f t="shared" si="513"/>
        <v>0</v>
      </c>
      <c r="BK2474" s="93"/>
      <c r="BL2474" s="93"/>
      <c r="BW2474" s="93" t="str">
        <f t="shared" si="514"/>
        <v>21</v>
      </c>
      <c r="BX2474" s="2" t="s">
        <v>3354</v>
      </c>
    </row>
    <row r="2475" spans="1:76" s="81" customFormat="1" ht="25.5" x14ac:dyDescent="0.25">
      <c r="A2475" s="66" t="s">
        <v>3364</v>
      </c>
      <c r="B2475" s="72" t="s">
        <v>55</v>
      </c>
      <c r="C2475" s="72" t="s">
        <v>3356</v>
      </c>
      <c r="D2475" s="174" t="s">
        <v>3357</v>
      </c>
      <c r="E2475" s="174"/>
      <c r="F2475" s="72" t="s">
        <v>203</v>
      </c>
      <c r="G2475" s="90">
        <v>1</v>
      </c>
      <c r="H2475" s="91"/>
      <c r="I2475" s="92" t="s">
        <v>63</v>
      </c>
      <c r="J2475" s="90">
        <f t="shared" si="489"/>
        <v>0</v>
      </c>
      <c r="K2475" s="90">
        <f t="shared" si="490"/>
        <v>0</v>
      </c>
      <c r="L2475" s="90">
        <f t="shared" si="491"/>
        <v>0</v>
      </c>
      <c r="M2475" s="90">
        <f t="shared" si="492"/>
        <v>0</v>
      </c>
      <c r="N2475" s="90">
        <v>1.8000000000000001E-4</v>
      </c>
      <c r="O2475" s="90">
        <f t="shared" si="493"/>
        <v>1.8000000000000001E-4</v>
      </c>
      <c r="P2475" s="92" t="s">
        <v>64</v>
      </c>
      <c r="Z2475" s="93">
        <f t="shared" si="494"/>
        <v>0</v>
      </c>
      <c r="AB2475" s="93">
        <f t="shared" si="495"/>
        <v>0</v>
      </c>
      <c r="AC2475" s="93">
        <f t="shared" si="496"/>
        <v>0</v>
      </c>
      <c r="AD2475" s="93">
        <f t="shared" si="497"/>
        <v>0</v>
      </c>
      <c r="AE2475" s="93">
        <f t="shared" si="498"/>
        <v>0</v>
      </c>
      <c r="AF2475" s="93">
        <f t="shared" si="499"/>
        <v>0</v>
      </c>
      <c r="AG2475" s="93">
        <f t="shared" si="500"/>
        <v>0</v>
      </c>
      <c r="AH2475" s="93">
        <f t="shared" si="501"/>
        <v>0</v>
      </c>
      <c r="AI2475" s="88" t="s">
        <v>55</v>
      </c>
      <c r="AJ2475" s="93">
        <f t="shared" si="502"/>
        <v>0</v>
      </c>
      <c r="AK2475" s="93">
        <f t="shared" si="503"/>
        <v>0</v>
      </c>
      <c r="AL2475" s="93">
        <f t="shared" si="504"/>
        <v>0</v>
      </c>
      <c r="AN2475" s="93">
        <v>21</v>
      </c>
      <c r="AO2475" s="93">
        <f>H2475*0.718729198</f>
        <v>0</v>
      </c>
      <c r="AP2475" s="93">
        <f>H2475*(1-0.718729198)</f>
        <v>0</v>
      </c>
      <c r="AQ2475" s="94" t="s">
        <v>148</v>
      </c>
      <c r="AV2475" s="93">
        <f t="shared" si="505"/>
        <v>0</v>
      </c>
      <c r="AW2475" s="93">
        <f t="shared" si="506"/>
        <v>0</v>
      </c>
      <c r="AX2475" s="93">
        <f t="shared" si="507"/>
        <v>0</v>
      </c>
      <c r="AY2475" s="94" t="s">
        <v>3131</v>
      </c>
      <c r="AZ2475" s="94" t="s">
        <v>2927</v>
      </c>
      <c r="BA2475" s="88" t="s">
        <v>67</v>
      </c>
      <c r="BC2475" s="93">
        <f t="shared" si="508"/>
        <v>0</v>
      </c>
      <c r="BD2475" s="93">
        <f t="shared" si="509"/>
        <v>0</v>
      </c>
      <c r="BE2475" s="93">
        <v>0</v>
      </c>
      <c r="BF2475" s="93">
        <f t="shared" si="510"/>
        <v>1.8000000000000001E-4</v>
      </c>
      <c r="BH2475" s="93">
        <f t="shared" si="511"/>
        <v>0</v>
      </c>
      <c r="BI2475" s="93">
        <f t="shared" si="512"/>
        <v>0</v>
      </c>
      <c r="BJ2475" s="93">
        <f t="shared" si="513"/>
        <v>0</v>
      </c>
      <c r="BK2475" s="93"/>
      <c r="BL2475" s="93"/>
      <c r="BW2475" s="93" t="str">
        <f t="shared" si="514"/>
        <v>21</v>
      </c>
      <c r="BX2475" s="2" t="s">
        <v>3357</v>
      </c>
    </row>
    <row r="2476" spans="1:76" s="81" customFormat="1" ht="25.5" x14ac:dyDescent="0.25">
      <c r="A2476" s="66" t="s">
        <v>3368</v>
      </c>
      <c r="B2476" s="72" t="s">
        <v>55</v>
      </c>
      <c r="C2476" s="72" t="s">
        <v>3359</v>
      </c>
      <c r="D2476" s="174" t="s">
        <v>3360</v>
      </c>
      <c r="E2476" s="174"/>
      <c r="F2476" s="72" t="s">
        <v>203</v>
      </c>
      <c r="G2476" s="90">
        <v>1</v>
      </c>
      <c r="H2476" s="91"/>
      <c r="I2476" s="92" t="s">
        <v>63</v>
      </c>
      <c r="J2476" s="90">
        <f t="shared" si="489"/>
        <v>0</v>
      </c>
      <c r="K2476" s="90">
        <f t="shared" si="490"/>
        <v>0</v>
      </c>
      <c r="L2476" s="90">
        <f t="shared" si="491"/>
        <v>0</v>
      </c>
      <c r="M2476" s="90">
        <f t="shared" si="492"/>
        <v>0</v>
      </c>
      <c r="N2476" s="90">
        <v>1.6000000000000001E-3</v>
      </c>
      <c r="O2476" s="90">
        <f t="shared" si="493"/>
        <v>1.6000000000000001E-3</v>
      </c>
      <c r="P2476" s="92" t="s">
        <v>64</v>
      </c>
      <c r="Z2476" s="93">
        <f t="shared" si="494"/>
        <v>0</v>
      </c>
      <c r="AB2476" s="93">
        <f t="shared" si="495"/>
        <v>0</v>
      </c>
      <c r="AC2476" s="93">
        <f t="shared" si="496"/>
        <v>0</v>
      </c>
      <c r="AD2476" s="93">
        <f t="shared" si="497"/>
        <v>0</v>
      </c>
      <c r="AE2476" s="93">
        <f t="shared" si="498"/>
        <v>0</v>
      </c>
      <c r="AF2476" s="93">
        <f t="shared" si="499"/>
        <v>0</v>
      </c>
      <c r="AG2476" s="93">
        <f t="shared" si="500"/>
        <v>0</v>
      </c>
      <c r="AH2476" s="93">
        <f t="shared" si="501"/>
        <v>0</v>
      </c>
      <c r="AI2476" s="88" t="s">
        <v>55</v>
      </c>
      <c r="AJ2476" s="93">
        <f t="shared" si="502"/>
        <v>0</v>
      </c>
      <c r="AK2476" s="93">
        <f t="shared" si="503"/>
        <v>0</v>
      </c>
      <c r="AL2476" s="93">
        <f t="shared" si="504"/>
        <v>0</v>
      </c>
      <c r="AN2476" s="93">
        <v>21</v>
      </c>
      <c r="AO2476" s="93">
        <f>H2476*0.959786207</f>
        <v>0</v>
      </c>
      <c r="AP2476" s="93">
        <f>H2476*(1-0.959786207)</f>
        <v>0</v>
      </c>
      <c r="AQ2476" s="94" t="s">
        <v>148</v>
      </c>
      <c r="AV2476" s="93">
        <f t="shared" si="505"/>
        <v>0</v>
      </c>
      <c r="AW2476" s="93">
        <f t="shared" si="506"/>
        <v>0</v>
      </c>
      <c r="AX2476" s="93">
        <f t="shared" si="507"/>
        <v>0</v>
      </c>
      <c r="AY2476" s="94" t="s">
        <v>3131</v>
      </c>
      <c r="AZ2476" s="94" t="s">
        <v>2927</v>
      </c>
      <c r="BA2476" s="88" t="s">
        <v>67</v>
      </c>
      <c r="BC2476" s="93">
        <f t="shared" si="508"/>
        <v>0</v>
      </c>
      <c r="BD2476" s="93">
        <f t="shared" si="509"/>
        <v>0</v>
      </c>
      <c r="BE2476" s="93">
        <v>0</v>
      </c>
      <c r="BF2476" s="93">
        <f t="shared" si="510"/>
        <v>1.6000000000000001E-3</v>
      </c>
      <c r="BH2476" s="93">
        <f t="shared" si="511"/>
        <v>0</v>
      </c>
      <c r="BI2476" s="93">
        <f t="shared" si="512"/>
        <v>0</v>
      </c>
      <c r="BJ2476" s="93">
        <f t="shared" si="513"/>
        <v>0</v>
      </c>
      <c r="BK2476" s="93"/>
      <c r="BL2476" s="93"/>
      <c r="BW2476" s="93" t="str">
        <f t="shared" si="514"/>
        <v>21</v>
      </c>
      <c r="BX2476" s="2" t="s">
        <v>3360</v>
      </c>
    </row>
    <row r="2477" spans="1:76" s="81" customFormat="1" ht="25.5" x14ac:dyDescent="0.25">
      <c r="A2477" s="66" t="s">
        <v>3371</v>
      </c>
      <c r="B2477" s="72" t="s">
        <v>55</v>
      </c>
      <c r="C2477" s="72" t="s">
        <v>3362</v>
      </c>
      <c r="D2477" s="174" t="s">
        <v>3363</v>
      </c>
      <c r="E2477" s="174"/>
      <c r="F2477" s="72" t="s">
        <v>203</v>
      </c>
      <c r="G2477" s="90">
        <v>6</v>
      </c>
      <c r="H2477" s="91"/>
      <c r="I2477" s="92" t="s">
        <v>63</v>
      </c>
      <c r="J2477" s="90">
        <f t="shared" si="489"/>
        <v>0</v>
      </c>
      <c r="K2477" s="90">
        <f t="shared" si="490"/>
        <v>0</v>
      </c>
      <c r="L2477" s="90">
        <f t="shared" si="491"/>
        <v>0</v>
      </c>
      <c r="M2477" s="90">
        <f t="shared" si="492"/>
        <v>0</v>
      </c>
      <c r="N2477" s="90">
        <v>1.9000000000000001E-4</v>
      </c>
      <c r="O2477" s="90">
        <f t="shared" si="493"/>
        <v>1.14E-3</v>
      </c>
      <c r="P2477" s="92" t="s">
        <v>64</v>
      </c>
      <c r="Z2477" s="93">
        <f t="shared" si="494"/>
        <v>0</v>
      </c>
      <c r="AB2477" s="93">
        <f t="shared" si="495"/>
        <v>0</v>
      </c>
      <c r="AC2477" s="93">
        <f t="shared" si="496"/>
        <v>0</v>
      </c>
      <c r="AD2477" s="93">
        <f t="shared" si="497"/>
        <v>0</v>
      </c>
      <c r="AE2477" s="93">
        <f t="shared" si="498"/>
        <v>0</v>
      </c>
      <c r="AF2477" s="93">
        <f t="shared" si="499"/>
        <v>0</v>
      </c>
      <c r="AG2477" s="93">
        <f t="shared" si="500"/>
        <v>0</v>
      </c>
      <c r="AH2477" s="93">
        <f t="shared" si="501"/>
        <v>0</v>
      </c>
      <c r="AI2477" s="88" t="s">
        <v>55</v>
      </c>
      <c r="AJ2477" s="93">
        <f t="shared" si="502"/>
        <v>0</v>
      </c>
      <c r="AK2477" s="93">
        <f t="shared" si="503"/>
        <v>0</v>
      </c>
      <c r="AL2477" s="93">
        <f t="shared" si="504"/>
        <v>0</v>
      </c>
      <c r="AN2477" s="93">
        <v>21</v>
      </c>
      <c r="AO2477" s="93">
        <f>H2477*0.856779687</f>
        <v>0</v>
      </c>
      <c r="AP2477" s="93">
        <f>H2477*(1-0.856779687)</f>
        <v>0</v>
      </c>
      <c r="AQ2477" s="94" t="s">
        <v>148</v>
      </c>
      <c r="AV2477" s="93">
        <f t="shared" si="505"/>
        <v>0</v>
      </c>
      <c r="AW2477" s="93">
        <f t="shared" si="506"/>
        <v>0</v>
      </c>
      <c r="AX2477" s="93">
        <f t="shared" si="507"/>
        <v>0</v>
      </c>
      <c r="AY2477" s="94" t="s">
        <v>3131</v>
      </c>
      <c r="AZ2477" s="94" t="s">
        <v>2927</v>
      </c>
      <c r="BA2477" s="88" t="s">
        <v>67</v>
      </c>
      <c r="BC2477" s="93">
        <f t="shared" si="508"/>
        <v>0</v>
      </c>
      <c r="BD2477" s="93">
        <f t="shared" si="509"/>
        <v>0</v>
      </c>
      <c r="BE2477" s="93">
        <v>0</v>
      </c>
      <c r="BF2477" s="93">
        <f t="shared" si="510"/>
        <v>1.14E-3</v>
      </c>
      <c r="BH2477" s="93">
        <f t="shared" si="511"/>
        <v>0</v>
      </c>
      <c r="BI2477" s="93">
        <f t="shared" si="512"/>
        <v>0</v>
      </c>
      <c r="BJ2477" s="93">
        <f t="shared" si="513"/>
        <v>0</v>
      </c>
      <c r="BK2477" s="93"/>
      <c r="BL2477" s="93"/>
      <c r="BW2477" s="93" t="str">
        <f t="shared" si="514"/>
        <v>21</v>
      </c>
      <c r="BX2477" s="2" t="s">
        <v>3363</v>
      </c>
    </row>
    <row r="2478" spans="1:76" s="81" customFormat="1" ht="25.5" x14ac:dyDescent="0.25">
      <c r="A2478" s="66" t="s">
        <v>3375</v>
      </c>
      <c r="B2478" s="72" t="s">
        <v>55</v>
      </c>
      <c r="C2478" s="72" t="s">
        <v>3365</v>
      </c>
      <c r="D2478" s="174" t="s">
        <v>3366</v>
      </c>
      <c r="E2478" s="174"/>
      <c r="F2478" s="72" t="s">
        <v>203</v>
      </c>
      <c r="G2478" s="90">
        <v>3</v>
      </c>
      <c r="H2478" s="91"/>
      <c r="I2478" s="92" t="s">
        <v>63</v>
      </c>
      <c r="J2478" s="90">
        <f t="shared" si="489"/>
        <v>0</v>
      </c>
      <c r="K2478" s="90">
        <f t="shared" si="490"/>
        <v>0</v>
      </c>
      <c r="L2478" s="90">
        <f t="shared" si="491"/>
        <v>0</v>
      </c>
      <c r="M2478" s="90">
        <f t="shared" si="492"/>
        <v>0</v>
      </c>
      <c r="N2478" s="90">
        <v>0.03</v>
      </c>
      <c r="O2478" s="90">
        <f t="shared" si="493"/>
        <v>0.09</v>
      </c>
      <c r="P2478" s="92" t="s">
        <v>64</v>
      </c>
      <c r="Z2478" s="93">
        <f t="shared" si="494"/>
        <v>0</v>
      </c>
      <c r="AB2478" s="93">
        <f t="shared" si="495"/>
        <v>0</v>
      </c>
      <c r="AC2478" s="93">
        <f t="shared" si="496"/>
        <v>0</v>
      </c>
      <c r="AD2478" s="93">
        <f t="shared" si="497"/>
        <v>0</v>
      </c>
      <c r="AE2478" s="93">
        <f t="shared" si="498"/>
        <v>0</v>
      </c>
      <c r="AF2478" s="93">
        <f t="shared" si="499"/>
        <v>0</v>
      </c>
      <c r="AG2478" s="93">
        <f t="shared" si="500"/>
        <v>0</v>
      </c>
      <c r="AH2478" s="93">
        <f t="shared" si="501"/>
        <v>0</v>
      </c>
      <c r="AI2478" s="88" t="s">
        <v>55</v>
      </c>
      <c r="AJ2478" s="93">
        <f t="shared" si="502"/>
        <v>0</v>
      </c>
      <c r="AK2478" s="93">
        <f t="shared" si="503"/>
        <v>0</v>
      </c>
      <c r="AL2478" s="93">
        <f t="shared" si="504"/>
        <v>0</v>
      </c>
      <c r="AN2478" s="93">
        <v>21</v>
      </c>
      <c r="AO2478" s="93">
        <f>H2478*0.909280611</f>
        <v>0</v>
      </c>
      <c r="AP2478" s="93">
        <f>H2478*(1-0.909280611)</f>
        <v>0</v>
      </c>
      <c r="AQ2478" s="94" t="s">
        <v>148</v>
      </c>
      <c r="AV2478" s="93">
        <f t="shared" si="505"/>
        <v>0</v>
      </c>
      <c r="AW2478" s="93">
        <f t="shared" si="506"/>
        <v>0</v>
      </c>
      <c r="AX2478" s="93">
        <f t="shared" si="507"/>
        <v>0</v>
      </c>
      <c r="AY2478" s="94" t="s">
        <v>3131</v>
      </c>
      <c r="AZ2478" s="94" t="s">
        <v>2927</v>
      </c>
      <c r="BA2478" s="88" t="s">
        <v>67</v>
      </c>
      <c r="BC2478" s="93">
        <f t="shared" si="508"/>
        <v>0</v>
      </c>
      <c r="BD2478" s="93">
        <f t="shared" si="509"/>
        <v>0</v>
      </c>
      <c r="BE2478" s="93">
        <v>0</v>
      </c>
      <c r="BF2478" s="93">
        <f t="shared" si="510"/>
        <v>0.09</v>
      </c>
      <c r="BH2478" s="93">
        <f t="shared" si="511"/>
        <v>0</v>
      </c>
      <c r="BI2478" s="93">
        <f t="shared" si="512"/>
        <v>0</v>
      </c>
      <c r="BJ2478" s="93">
        <f t="shared" si="513"/>
        <v>0</v>
      </c>
      <c r="BK2478" s="93"/>
      <c r="BL2478" s="93"/>
      <c r="BW2478" s="93" t="str">
        <f t="shared" si="514"/>
        <v>21</v>
      </c>
      <c r="BX2478" s="2" t="s">
        <v>3366</v>
      </c>
    </row>
    <row r="2479" spans="1:76" s="81" customFormat="1" ht="13.5" customHeight="1" x14ac:dyDescent="0.25">
      <c r="A2479" s="110"/>
      <c r="B2479" s="95"/>
      <c r="C2479" s="95"/>
      <c r="D2479" s="179" t="s">
        <v>3367</v>
      </c>
      <c r="E2479" s="179"/>
      <c r="F2479" s="179"/>
      <c r="G2479" s="179"/>
      <c r="H2479" s="179"/>
      <c r="I2479" s="179"/>
      <c r="J2479" s="179"/>
      <c r="K2479" s="179"/>
      <c r="L2479" s="179"/>
      <c r="M2479" s="179"/>
      <c r="N2479" s="179"/>
      <c r="O2479" s="179"/>
      <c r="P2479" s="179"/>
    </row>
    <row r="2480" spans="1:76" s="81" customFormat="1" ht="25.5" x14ac:dyDescent="0.25">
      <c r="A2480" s="66" t="s">
        <v>3378</v>
      </c>
      <c r="B2480" s="72" t="s">
        <v>55</v>
      </c>
      <c r="C2480" s="72" t="s">
        <v>3369</v>
      </c>
      <c r="D2480" s="174" t="s">
        <v>3370</v>
      </c>
      <c r="E2480" s="174"/>
      <c r="F2480" s="72" t="s">
        <v>203</v>
      </c>
      <c r="G2480" s="90">
        <v>1</v>
      </c>
      <c r="H2480" s="91"/>
      <c r="I2480" s="92" t="s">
        <v>63</v>
      </c>
      <c r="J2480" s="90">
        <f>G2480*AO2480</f>
        <v>0</v>
      </c>
      <c r="K2480" s="90">
        <f>G2480*AP2480</f>
        <v>0</v>
      </c>
      <c r="L2480" s="90">
        <f>G2480*H2480</f>
        <v>0</v>
      </c>
      <c r="M2480" s="90">
        <f>L2480*(1+BW2480/100)</f>
        <v>0</v>
      </c>
      <c r="N2480" s="90">
        <v>6.7400000000000003E-3</v>
      </c>
      <c r="O2480" s="90">
        <f>G2480*N2480</f>
        <v>6.7400000000000003E-3</v>
      </c>
      <c r="P2480" s="92" t="s">
        <v>578</v>
      </c>
      <c r="Z2480" s="93">
        <f>IF(AQ2480="5",BJ2480,0)</f>
        <v>0</v>
      </c>
      <c r="AB2480" s="93">
        <f>IF(AQ2480="1",BH2480,0)</f>
        <v>0</v>
      </c>
      <c r="AC2480" s="93">
        <f>IF(AQ2480="1",BI2480,0)</f>
        <v>0</v>
      </c>
      <c r="AD2480" s="93">
        <f>IF(AQ2480="7",BH2480,0)</f>
        <v>0</v>
      </c>
      <c r="AE2480" s="93">
        <f>IF(AQ2480="7",BI2480,0)</f>
        <v>0</v>
      </c>
      <c r="AF2480" s="93">
        <f>IF(AQ2480="2",BH2480,0)</f>
        <v>0</v>
      </c>
      <c r="AG2480" s="93">
        <f>IF(AQ2480="2",BI2480,0)</f>
        <v>0</v>
      </c>
      <c r="AH2480" s="93">
        <f>IF(AQ2480="0",BJ2480,0)</f>
        <v>0</v>
      </c>
      <c r="AI2480" s="88" t="s">
        <v>55</v>
      </c>
      <c r="AJ2480" s="93">
        <f>IF(AN2480=0,L2480,0)</f>
        <v>0</v>
      </c>
      <c r="AK2480" s="93">
        <f>IF(AN2480=12,L2480,0)</f>
        <v>0</v>
      </c>
      <c r="AL2480" s="93">
        <f>IF(AN2480=21,L2480,0)</f>
        <v>0</v>
      </c>
      <c r="AN2480" s="93">
        <v>21</v>
      </c>
      <c r="AO2480" s="93">
        <f>H2480*0.832205323</f>
        <v>0</v>
      </c>
      <c r="AP2480" s="93">
        <f>H2480*(1-0.832205323)</f>
        <v>0</v>
      </c>
      <c r="AQ2480" s="94" t="s">
        <v>148</v>
      </c>
      <c r="AV2480" s="93">
        <f>AW2480+AX2480</f>
        <v>0</v>
      </c>
      <c r="AW2480" s="93">
        <f>G2480*AO2480</f>
        <v>0</v>
      </c>
      <c r="AX2480" s="93">
        <f>G2480*AP2480</f>
        <v>0</v>
      </c>
      <c r="AY2480" s="94" t="s">
        <v>3131</v>
      </c>
      <c r="AZ2480" s="94" t="s">
        <v>2927</v>
      </c>
      <c r="BA2480" s="88" t="s">
        <v>67</v>
      </c>
      <c r="BC2480" s="93">
        <f>AW2480+AX2480</f>
        <v>0</v>
      </c>
      <c r="BD2480" s="93">
        <f>H2480/(100-BE2480)*100</f>
        <v>0</v>
      </c>
      <c r="BE2480" s="93">
        <v>0</v>
      </c>
      <c r="BF2480" s="93">
        <f>O2480</f>
        <v>6.7400000000000003E-3</v>
      </c>
      <c r="BH2480" s="93">
        <f>G2480*AO2480</f>
        <v>0</v>
      </c>
      <c r="BI2480" s="93">
        <f>G2480*AP2480</f>
        <v>0</v>
      </c>
      <c r="BJ2480" s="93">
        <f>G2480*H2480</f>
        <v>0</v>
      </c>
      <c r="BK2480" s="93"/>
      <c r="BL2480" s="93"/>
      <c r="BW2480" s="93" t="str">
        <f>I2480</f>
        <v>21</v>
      </c>
      <c r="BX2480" s="2" t="s">
        <v>3370</v>
      </c>
    </row>
    <row r="2481" spans="1:76" s="81" customFormat="1" ht="25.5" x14ac:dyDescent="0.25">
      <c r="A2481" s="66" t="s">
        <v>3381</v>
      </c>
      <c r="B2481" s="72" t="s">
        <v>55</v>
      </c>
      <c r="C2481" s="72" t="s">
        <v>3372</v>
      </c>
      <c r="D2481" s="174" t="s">
        <v>3373</v>
      </c>
      <c r="E2481" s="174"/>
      <c r="F2481" s="72" t="s">
        <v>203</v>
      </c>
      <c r="G2481" s="90">
        <v>2</v>
      </c>
      <c r="H2481" s="91"/>
      <c r="I2481" s="92" t="s">
        <v>63</v>
      </c>
      <c r="J2481" s="90">
        <f>G2481*AO2481</f>
        <v>0</v>
      </c>
      <c r="K2481" s="90">
        <f>G2481*AP2481</f>
        <v>0</v>
      </c>
      <c r="L2481" s="90">
        <f>G2481*H2481</f>
        <v>0</v>
      </c>
      <c r="M2481" s="90">
        <f>L2481*(1+BW2481/100)</f>
        <v>0</v>
      </c>
      <c r="N2481" s="90">
        <v>6.4999999999999997E-4</v>
      </c>
      <c r="O2481" s="90">
        <f>G2481*N2481</f>
        <v>1.2999999999999999E-3</v>
      </c>
      <c r="P2481" s="92" t="s">
        <v>64</v>
      </c>
      <c r="Z2481" s="93">
        <f>IF(AQ2481="5",BJ2481,0)</f>
        <v>0</v>
      </c>
      <c r="AB2481" s="93">
        <f>IF(AQ2481="1",BH2481,0)</f>
        <v>0</v>
      </c>
      <c r="AC2481" s="93">
        <f>IF(AQ2481="1",BI2481,0)</f>
        <v>0</v>
      </c>
      <c r="AD2481" s="93">
        <f>IF(AQ2481="7",BH2481,0)</f>
        <v>0</v>
      </c>
      <c r="AE2481" s="93">
        <f>IF(AQ2481="7",BI2481,0)</f>
        <v>0</v>
      </c>
      <c r="AF2481" s="93">
        <f>IF(AQ2481="2",BH2481,0)</f>
        <v>0</v>
      </c>
      <c r="AG2481" s="93">
        <f>IF(AQ2481="2",BI2481,0)</f>
        <v>0</v>
      </c>
      <c r="AH2481" s="93">
        <f>IF(AQ2481="0",BJ2481,0)</f>
        <v>0</v>
      </c>
      <c r="AI2481" s="88" t="s">
        <v>55</v>
      </c>
      <c r="AJ2481" s="93">
        <f>IF(AN2481=0,L2481,0)</f>
        <v>0</v>
      </c>
      <c r="AK2481" s="93">
        <f>IF(AN2481=12,L2481,0)</f>
        <v>0</v>
      </c>
      <c r="AL2481" s="93">
        <f>IF(AN2481=21,L2481,0)</f>
        <v>0</v>
      </c>
      <c r="AN2481" s="93">
        <v>21</v>
      </c>
      <c r="AO2481" s="93">
        <f>H2481*0.943898612</f>
        <v>0</v>
      </c>
      <c r="AP2481" s="93">
        <f>H2481*(1-0.943898612)</f>
        <v>0</v>
      </c>
      <c r="AQ2481" s="94" t="s">
        <v>148</v>
      </c>
      <c r="AV2481" s="93">
        <f>AW2481+AX2481</f>
        <v>0</v>
      </c>
      <c r="AW2481" s="93">
        <f>G2481*AO2481</f>
        <v>0</v>
      </c>
      <c r="AX2481" s="93">
        <f>G2481*AP2481</f>
        <v>0</v>
      </c>
      <c r="AY2481" s="94" t="s">
        <v>3131</v>
      </c>
      <c r="AZ2481" s="94" t="s">
        <v>2927</v>
      </c>
      <c r="BA2481" s="88" t="s">
        <v>67</v>
      </c>
      <c r="BC2481" s="93">
        <f>AW2481+AX2481</f>
        <v>0</v>
      </c>
      <c r="BD2481" s="93">
        <f>H2481/(100-BE2481)*100</f>
        <v>0</v>
      </c>
      <c r="BE2481" s="93">
        <v>0</v>
      </c>
      <c r="BF2481" s="93">
        <f>O2481</f>
        <v>1.2999999999999999E-3</v>
      </c>
      <c r="BH2481" s="93">
        <f>G2481*AO2481</f>
        <v>0</v>
      </c>
      <c r="BI2481" s="93">
        <f>G2481*AP2481</f>
        <v>0</v>
      </c>
      <c r="BJ2481" s="93">
        <f>G2481*H2481</f>
        <v>0</v>
      </c>
      <c r="BK2481" s="93"/>
      <c r="BL2481" s="93"/>
      <c r="BW2481" s="93" t="str">
        <f>I2481</f>
        <v>21</v>
      </c>
      <c r="BX2481" s="2" t="s">
        <v>3373</v>
      </c>
    </row>
    <row r="2482" spans="1:76" s="81" customFormat="1" ht="13.5" customHeight="1" x14ac:dyDescent="0.25">
      <c r="A2482" s="110"/>
      <c r="B2482" s="95"/>
      <c r="C2482" s="95"/>
      <c r="D2482" s="179" t="s">
        <v>3374</v>
      </c>
      <c r="E2482" s="179"/>
      <c r="F2482" s="179"/>
      <c r="G2482" s="179"/>
      <c r="H2482" s="179"/>
      <c r="I2482" s="179"/>
      <c r="J2482" s="179"/>
      <c r="K2482" s="179"/>
      <c r="L2482" s="179"/>
      <c r="M2482" s="179"/>
      <c r="N2482" s="179"/>
      <c r="O2482" s="179"/>
      <c r="P2482" s="179"/>
    </row>
    <row r="2483" spans="1:76" s="81" customFormat="1" ht="25.5" x14ac:dyDescent="0.25">
      <c r="A2483" s="66" t="s">
        <v>1354</v>
      </c>
      <c r="B2483" s="72" t="s">
        <v>55</v>
      </c>
      <c r="C2483" s="72" t="s">
        <v>3376</v>
      </c>
      <c r="D2483" s="174" t="s">
        <v>3377</v>
      </c>
      <c r="E2483" s="174"/>
      <c r="F2483" s="72" t="s">
        <v>203</v>
      </c>
      <c r="G2483" s="90">
        <v>1</v>
      </c>
      <c r="H2483" s="91"/>
      <c r="I2483" s="92" t="s">
        <v>63</v>
      </c>
      <c r="J2483" s="90">
        <f t="shared" ref="J2483:J2488" si="515">G2483*AO2483</f>
        <v>0</v>
      </c>
      <c r="K2483" s="90">
        <f t="shared" ref="K2483:K2488" si="516">G2483*AP2483</f>
        <v>0</v>
      </c>
      <c r="L2483" s="90">
        <f t="shared" ref="L2483:L2488" si="517">G2483*H2483</f>
        <v>0</v>
      </c>
      <c r="M2483" s="90">
        <f t="shared" ref="M2483:M2488" si="518">L2483*(1+BW2483/100)</f>
        <v>0</v>
      </c>
      <c r="N2483" s="90">
        <v>0</v>
      </c>
      <c r="O2483" s="90">
        <f t="shared" ref="O2483:O2488" si="519">G2483*N2483</f>
        <v>0</v>
      </c>
      <c r="P2483" s="92" t="s">
        <v>64</v>
      </c>
      <c r="Z2483" s="93">
        <f t="shared" ref="Z2483:Z2488" si="520">IF(AQ2483="5",BJ2483,0)</f>
        <v>0</v>
      </c>
      <c r="AB2483" s="93">
        <f t="shared" ref="AB2483:AB2488" si="521">IF(AQ2483="1",BH2483,0)</f>
        <v>0</v>
      </c>
      <c r="AC2483" s="93">
        <f t="shared" ref="AC2483:AC2488" si="522">IF(AQ2483="1",BI2483,0)</f>
        <v>0</v>
      </c>
      <c r="AD2483" s="93">
        <f t="shared" ref="AD2483:AD2488" si="523">IF(AQ2483="7",BH2483,0)</f>
        <v>0</v>
      </c>
      <c r="AE2483" s="93">
        <f t="shared" ref="AE2483:AE2488" si="524">IF(AQ2483="7",BI2483,0)</f>
        <v>0</v>
      </c>
      <c r="AF2483" s="93">
        <f t="shared" ref="AF2483:AF2488" si="525">IF(AQ2483="2",BH2483,0)</f>
        <v>0</v>
      </c>
      <c r="AG2483" s="93">
        <f t="shared" ref="AG2483:AG2488" si="526">IF(AQ2483="2",BI2483,0)</f>
        <v>0</v>
      </c>
      <c r="AH2483" s="93">
        <f t="shared" ref="AH2483:AH2488" si="527">IF(AQ2483="0",BJ2483,0)</f>
        <v>0</v>
      </c>
      <c r="AI2483" s="88" t="s">
        <v>55</v>
      </c>
      <c r="AJ2483" s="93">
        <f t="shared" ref="AJ2483:AJ2488" si="528">IF(AN2483=0,L2483,0)</f>
        <v>0</v>
      </c>
      <c r="AK2483" s="93">
        <f t="shared" ref="AK2483:AK2488" si="529">IF(AN2483=12,L2483,0)</f>
        <v>0</v>
      </c>
      <c r="AL2483" s="93">
        <f t="shared" ref="AL2483:AL2488" si="530">IF(AN2483=21,L2483,0)</f>
        <v>0</v>
      </c>
      <c r="AN2483" s="93">
        <v>21</v>
      </c>
      <c r="AO2483" s="93">
        <f>H2483*0.739977703</f>
        <v>0</v>
      </c>
      <c r="AP2483" s="93">
        <f>H2483*(1-0.739977703)</f>
        <v>0</v>
      </c>
      <c r="AQ2483" s="94" t="s">
        <v>148</v>
      </c>
      <c r="AV2483" s="93">
        <f t="shared" ref="AV2483:AV2488" si="531">AW2483+AX2483</f>
        <v>0</v>
      </c>
      <c r="AW2483" s="93">
        <f t="shared" ref="AW2483:AW2488" si="532">G2483*AO2483</f>
        <v>0</v>
      </c>
      <c r="AX2483" s="93">
        <f t="shared" ref="AX2483:AX2488" si="533">G2483*AP2483</f>
        <v>0</v>
      </c>
      <c r="AY2483" s="94" t="s">
        <v>3131</v>
      </c>
      <c r="AZ2483" s="94" t="s">
        <v>2927</v>
      </c>
      <c r="BA2483" s="88" t="s">
        <v>67</v>
      </c>
      <c r="BC2483" s="93">
        <f t="shared" ref="BC2483:BC2488" si="534">AW2483+AX2483</f>
        <v>0</v>
      </c>
      <c r="BD2483" s="93">
        <f t="shared" ref="BD2483:BD2488" si="535">H2483/(100-BE2483)*100</f>
        <v>0</v>
      </c>
      <c r="BE2483" s="93">
        <v>0</v>
      </c>
      <c r="BF2483" s="93">
        <f t="shared" ref="BF2483:BF2488" si="536">O2483</f>
        <v>0</v>
      </c>
      <c r="BH2483" s="93">
        <f t="shared" ref="BH2483:BH2488" si="537">G2483*AO2483</f>
        <v>0</v>
      </c>
      <c r="BI2483" s="93">
        <f t="shared" ref="BI2483:BI2488" si="538">G2483*AP2483</f>
        <v>0</v>
      </c>
      <c r="BJ2483" s="93">
        <f t="shared" ref="BJ2483:BJ2488" si="539">G2483*H2483</f>
        <v>0</v>
      </c>
      <c r="BK2483" s="93"/>
      <c r="BL2483" s="93"/>
      <c r="BW2483" s="93" t="str">
        <f t="shared" ref="BW2483:BW2488" si="540">I2483</f>
        <v>21</v>
      </c>
      <c r="BX2483" s="2" t="s">
        <v>3377</v>
      </c>
    </row>
    <row r="2484" spans="1:76" s="81" customFormat="1" ht="25.5" x14ac:dyDescent="0.25">
      <c r="A2484" s="66" t="s">
        <v>1448</v>
      </c>
      <c r="B2484" s="72" t="s">
        <v>55</v>
      </c>
      <c r="C2484" s="72" t="s">
        <v>3379</v>
      </c>
      <c r="D2484" s="174" t="s">
        <v>3380</v>
      </c>
      <c r="E2484" s="174"/>
      <c r="F2484" s="72" t="s">
        <v>203</v>
      </c>
      <c r="G2484" s="90">
        <v>1</v>
      </c>
      <c r="H2484" s="91"/>
      <c r="I2484" s="92" t="s">
        <v>63</v>
      </c>
      <c r="J2484" s="90">
        <f t="shared" si="515"/>
        <v>0</v>
      </c>
      <c r="K2484" s="90">
        <f t="shared" si="516"/>
        <v>0</v>
      </c>
      <c r="L2484" s="90">
        <f t="shared" si="517"/>
        <v>0</v>
      </c>
      <c r="M2484" s="90">
        <f t="shared" si="518"/>
        <v>0</v>
      </c>
      <c r="N2484" s="90">
        <v>5.5000000000000003E-4</v>
      </c>
      <c r="O2484" s="90">
        <f t="shared" si="519"/>
        <v>5.5000000000000003E-4</v>
      </c>
      <c r="P2484" s="92" t="s">
        <v>64</v>
      </c>
      <c r="Z2484" s="93">
        <f t="shared" si="520"/>
        <v>0</v>
      </c>
      <c r="AB2484" s="93">
        <f t="shared" si="521"/>
        <v>0</v>
      </c>
      <c r="AC2484" s="93">
        <f t="shared" si="522"/>
        <v>0</v>
      </c>
      <c r="AD2484" s="93">
        <f t="shared" si="523"/>
        <v>0</v>
      </c>
      <c r="AE2484" s="93">
        <f t="shared" si="524"/>
        <v>0</v>
      </c>
      <c r="AF2484" s="93">
        <f t="shared" si="525"/>
        <v>0</v>
      </c>
      <c r="AG2484" s="93">
        <f t="shared" si="526"/>
        <v>0</v>
      </c>
      <c r="AH2484" s="93">
        <f t="shared" si="527"/>
        <v>0</v>
      </c>
      <c r="AI2484" s="88" t="s">
        <v>55</v>
      </c>
      <c r="AJ2484" s="93">
        <f t="shared" si="528"/>
        <v>0</v>
      </c>
      <c r="AK2484" s="93">
        <f t="shared" si="529"/>
        <v>0</v>
      </c>
      <c r="AL2484" s="93">
        <f t="shared" si="530"/>
        <v>0</v>
      </c>
      <c r="AN2484" s="93">
        <v>21</v>
      </c>
      <c r="AO2484" s="93">
        <f>H2484*0.864080717</f>
        <v>0</v>
      </c>
      <c r="AP2484" s="93">
        <f>H2484*(1-0.864080717)</f>
        <v>0</v>
      </c>
      <c r="AQ2484" s="94" t="s">
        <v>148</v>
      </c>
      <c r="AV2484" s="93">
        <f t="shared" si="531"/>
        <v>0</v>
      </c>
      <c r="AW2484" s="93">
        <f t="shared" si="532"/>
        <v>0</v>
      </c>
      <c r="AX2484" s="93">
        <f t="shared" si="533"/>
        <v>0</v>
      </c>
      <c r="AY2484" s="94" t="s">
        <v>3131</v>
      </c>
      <c r="AZ2484" s="94" t="s">
        <v>2927</v>
      </c>
      <c r="BA2484" s="88" t="s">
        <v>67</v>
      </c>
      <c r="BC2484" s="93">
        <f t="shared" si="534"/>
        <v>0</v>
      </c>
      <c r="BD2484" s="93">
        <f t="shared" si="535"/>
        <v>0</v>
      </c>
      <c r="BE2484" s="93">
        <v>0</v>
      </c>
      <c r="BF2484" s="93">
        <f t="shared" si="536"/>
        <v>5.5000000000000003E-4</v>
      </c>
      <c r="BH2484" s="93">
        <f t="shared" si="537"/>
        <v>0</v>
      </c>
      <c r="BI2484" s="93">
        <f t="shared" si="538"/>
        <v>0</v>
      </c>
      <c r="BJ2484" s="93">
        <f t="shared" si="539"/>
        <v>0</v>
      </c>
      <c r="BK2484" s="93"/>
      <c r="BL2484" s="93"/>
      <c r="BW2484" s="93" t="str">
        <f t="shared" si="540"/>
        <v>21</v>
      </c>
      <c r="BX2484" s="2" t="s">
        <v>3380</v>
      </c>
    </row>
    <row r="2485" spans="1:76" s="81" customFormat="1" ht="25.5" x14ac:dyDescent="0.25">
      <c r="A2485" s="66" t="s">
        <v>1520</v>
      </c>
      <c r="B2485" s="72" t="s">
        <v>55</v>
      </c>
      <c r="C2485" s="72" t="s">
        <v>3382</v>
      </c>
      <c r="D2485" s="174" t="s">
        <v>3383</v>
      </c>
      <c r="E2485" s="174"/>
      <c r="F2485" s="72" t="s">
        <v>203</v>
      </c>
      <c r="G2485" s="90">
        <v>1</v>
      </c>
      <c r="H2485" s="91"/>
      <c r="I2485" s="92" t="s">
        <v>63</v>
      </c>
      <c r="J2485" s="90">
        <f t="shared" si="515"/>
        <v>0</v>
      </c>
      <c r="K2485" s="90">
        <f t="shared" si="516"/>
        <v>0</v>
      </c>
      <c r="L2485" s="90">
        <f t="shared" si="517"/>
        <v>0</v>
      </c>
      <c r="M2485" s="90">
        <f t="shared" si="518"/>
        <v>0</v>
      </c>
      <c r="N2485" s="90">
        <v>2.3000000000000001E-4</v>
      </c>
      <c r="O2485" s="90">
        <f t="shared" si="519"/>
        <v>2.3000000000000001E-4</v>
      </c>
      <c r="P2485" s="92" t="s">
        <v>64</v>
      </c>
      <c r="Z2485" s="93">
        <f t="shared" si="520"/>
        <v>0</v>
      </c>
      <c r="AB2485" s="93">
        <f t="shared" si="521"/>
        <v>0</v>
      </c>
      <c r="AC2485" s="93">
        <f t="shared" si="522"/>
        <v>0</v>
      </c>
      <c r="AD2485" s="93">
        <f t="shared" si="523"/>
        <v>0</v>
      </c>
      <c r="AE2485" s="93">
        <f t="shared" si="524"/>
        <v>0</v>
      </c>
      <c r="AF2485" s="93">
        <f t="shared" si="525"/>
        <v>0</v>
      </c>
      <c r="AG2485" s="93">
        <f t="shared" si="526"/>
        <v>0</v>
      </c>
      <c r="AH2485" s="93">
        <f t="shared" si="527"/>
        <v>0</v>
      </c>
      <c r="AI2485" s="88" t="s">
        <v>55</v>
      </c>
      <c r="AJ2485" s="93">
        <f t="shared" si="528"/>
        <v>0</v>
      </c>
      <c r="AK2485" s="93">
        <f t="shared" si="529"/>
        <v>0</v>
      </c>
      <c r="AL2485" s="93">
        <f t="shared" si="530"/>
        <v>0</v>
      </c>
      <c r="AN2485" s="93">
        <v>21</v>
      </c>
      <c r="AO2485" s="93">
        <f>H2485*0.797534722</f>
        <v>0</v>
      </c>
      <c r="AP2485" s="93">
        <f>H2485*(1-0.797534722)</f>
        <v>0</v>
      </c>
      <c r="AQ2485" s="94" t="s">
        <v>148</v>
      </c>
      <c r="AV2485" s="93">
        <f t="shared" si="531"/>
        <v>0</v>
      </c>
      <c r="AW2485" s="93">
        <f t="shared" si="532"/>
        <v>0</v>
      </c>
      <c r="AX2485" s="93">
        <f t="shared" si="533"/>
        <v>0</v>
      </c>
      <c r="AY2485" s="94" t="s">
        <v>3131</v>
      </c>
      <c r="AZ2485" s="94" t="s">
        <v>2927</v>
      </c>
      <c r="BA2485" s="88" t="s">
        <v>67</v>
      </c>
      <c r="BC2485" s="93">
        <f t="shared" si="534"/>
        <v>0</v>
      </c>
      <c r="BD2485" s="93">
        <f t="shared" si="535"/>
        <v>0</v>
      </c>
      <c r="BE2485" s="93">
        <v>0</v>
      </c>
      <c r="BF2485" s="93">
        <f t="shared" si="536"/>
        <v>2.3000000000000001E-4</v>
      </c>
      <c r="BH2485" s="93">
        <f t="shared" si="537"/>
        <v>0</v>
      </c>
      <c r="BI2485" s="93">
        <f t="shared" si="538"/>
        <v>0</v>
      </c>
      <c r="BJ2485" s="93">
        <f t="shared" si="539"/>
        <v>0</v>
      </c>
      <c r="BK2485" s="93"/>
      <c r="BL2485" s="93"/>
      <c r="BW2485" s="93" t="str">
        <f t="shared" si="540"/>
        <v>21</v>
      </c>
      <c r="BX2485" s="2" t="s">
        <v>3383</v>
      </c>
    </row>
    <row r="2486" spans="1:76" s="81" customFormat="1" ht="25.5" x14ac:dyDescent="0.25">
      <c r="A2486" s="66" t="s">
        <v>3391</v>
      </c>
      <c r="B2486" s="72" t="s">
        <v>55</v>
      </c>
      <c r="C2486" s="72" t="s">
        <v>3384</v>
      </c>
      <c r="D2486" s="174" t="s">
        <v>3385</v>
      </c>
      <c r="E2486" s="174"/>
      <c r="F2486" s="72" t="s">
        <v>203</v>
      </c>
      <c r="G2486" s="90">
        <v>2</v>
      </c>
      <c r="H2486" s="91"/>
      <c r="I2486" s="92" t="s">
        <v>63</v>
      </c>
      <c r="J2486" s="90">
        <f t="shared" si="515"/>
        <v>0</v>
      </c>
      <c r="K2486" s="90">
        <f t="shared" si="516"/>
        <v>0</v>
      </c>
      <c r="L2486" s="90">
        <f t="shared" si="517"/>
        <v>0</v>
      </c>
      <c r="M2486" s="90">
        <f t="shared" si="518"/>
        <v>0</v>
      </c>
      <c r="N2486" s="90">
        <v>1.4999999999999999E-4</v>
      </c>
      <c r="O2486" s="90">
        <f t="shared" si="519"/>
        <v>2.9999999999999997E-4</v>
      </c>
      <c r="P2486" s="92" t="s">
        <v>64</v>
      </c>
      <c r="Z2486" s="93">
        <f t="shared" si="520"/>
        <v>0</v>
      </c>
      <c r="AB2486" s="93">
        <f t="shared" si="521"/>
        <v>0</v>
      </c>
      <c r="AC2486" s="93">
        <f t="shared" si="522"/>
        <v>0</v>
      </c>
      <c r="AD2486" s="93">
        <f t="shared" si="523"/>
        <v>0</v>
      </c>
      <c r="AE2486" s="93">
        <f t="shared" si="524"/>
        <v>0</v>
      </c>
      <c r="AF2486" s="93">
        <f t="shared" si="525"/>
        <v>0</v>
      </c>
      <c r="AG2486" s="93">
        <f t="shared" si="526"/>
        <v>0</v>
      </c>
      <c r="AH2486" s="93">
        <f t="shared" si="527"/>
        <v>0</v>
      </c>
      <c r="AI2486" s="88" t="s">
        <v>55</v>
      </c>
      <c r="AJ2486" s="93">
        <f t="shared" si="528"/>
        <v>0</v>
      </c>
      <c r="AK2486" s="93">
        <f t="shared" si="529"/>
        <v>0</v>
      </c>
      <c r="AL2486" s="93">
        <f t="shared" si="530"/>
        <v>0</v>
      </c>
      <c r="AN2486" s="93">
        <v>21</v>
      </c>
      <c r="AO2486" s="93">
        <f>H2486*0.792962138</f>
        <v>0</v>
      </c>
      <c r="AP2486" s="93">
        <f>H2486*(1-0.792962138)</f>
        <v>0</v>
      </c>
      <c r="AQ2486" s="94" t="s">
        <v>148</v>
      </c>
      <c r="AV2486" s="93">
        <f t="shared" si="531"/>
        <v>0</v>
      </c>
      <c r="AW2486" s="93">
        <f t="shared" si="532"/>
        <v>0</v>
      </c>
      <c r="AX2486" s="93">
        <f t="shared" si="533"/>
        <v>0</v>
      </c>
      <c r="AY2486" s="94" t="s">
        <v>3131</v>
      </c>
      <c r="AZ2486" s="94" t="s">
        <v>2927</v>
      </c>
      <c r="BA2486" s="88" t="s">
        <v>67</v>
      </c>
      <c r="BC2486" s="93">
        <f t="shared" si="534"/>
        <v>0</v>
      </c>
      <c r="BD2486" s="93">
        <f t="shared" si="535"/>
        <v>0</v>
      </c>
      <c r="BE2486" s="93">
        <v>0</v>
      </c>
      <c r="BF2486" s="93">
        <f t="shared" si="536"/>
        <v>2.9999999999999997E-4</v>
      </c>
      <c r="BH2486" s="93">
        <f t="shared" si="537"/>
        <v>0</v>
      </c>
      <c r="BI2486" s="93">
        <f t="shared" si="538"/>
        <v>0</v>
      </c>
      <c r="BJ2486" s="93">
        <f t="shared" si="539"/>
        <v>0</v>
      </c>
      <c r="BK2486" s="93"/>
      <c r="BL2486" s="93"/>
      <c r="BW2486" s="93" t="str">
        <f t="shared" si="540"/>
        <v>21</v>
      </c>
      <c r="BX2486" s="2" t="s">
        <v>3385</v>
      </c>
    </row>
    <row r="2487" spans="1:76" s="81" customFormat="1" ht="25.5" x14ac:dyDescent="0.25">
      <c r="A2487" s="66" t="s">
        <v>3394</v>
      </c>
      <c r="B2487" s="72" t="s">
        <v>55</v>
      </c>
      <c r="C2487" s="72" t="s">
        <v>3386</v>
      </c>
      <c r="D2487" s="174" t="s">
        <v>3387</v>
      </c>
      <c r="E2487" s="174"/>
      <c r="F2487" s="72" t="s">
        <v>1332</v>
      </c>
      <c r="G2487" s="90">
        <v>1</v>
      </c>
      <c r="H2487" s="91"/>
      <c r="I2487" s="92" t="s">
        <v>63</v>
      </c>
      <c r="J2487" s="90">
        <f t="shared" si="515"/>
        <v>0</v>
      </c>
      <c r="K2487" s="90">
        <f t="shared" si="516"/>
        <v>0</v>
      </c>
      <c r="L2487" s="90">
        <f t="shared" si="517"/>
        <v>0</v>
      </c>
      <c r="M2487" s="90">
        <f t="shared" si="518"/>
        <v>0</v>
      </c>
      <c r="N2487" s="90">
        <v>3.3899999999999998E-3</v>
      </c>
      <c r="O2487" s="90">
        <f t="shared" si="519"/>
        <v>3.3899999999999998E-3</v>
      </c>
      <c r="P2487" s="92" t="s">
        <v>371</v>
      </c>
      <c r="Z2487" s="93">
        <f t="shared" si="520"/>
        <v>0</v>
      </c>
      <c r="AB2487" s="93">
        <f t="shared" si="521"/>
        <v>0</v>
      </c>
      <c r="AC2487" s="93">
        <f t="shared" si="522"/>
        <v>0</v>
      </c>
      <c r="AD2487" s="93">
        <f t="shared" si="523"/>
        <v>0</v>
      </c>
      <c r="AE2487" s="93">
        <f t="shared" si="524"/>
        <v>0</v>
      </c>
      <c r="AF2487" s="93">
        <f t="shared" si="525"/>
        <v>0</v>
      </c>
      <c r="AG2487" s="93">
        <f t="shared" si="526"/>
        <v>0</v>
      </c>
      <c r="AH2487" s="93">
        <f t="shared" si="527"/>
        <v>0</v>
      </c>
      <c r="AI2487" s="88" t="s">
        <v>55</v>
      </c>
      <c r="AJ2487" s="93">
        <f t="shared" si="528"/>
        <v>0</v>
      </c>
      <c r="AK2487" s="93">
        <f t="shared" si="529"/>
        <v>0</v>
      </c>
      <c r="AL2487" s="93">
        <f t="shared" si="530"/>
        <v>0</v>
      </c>
      <c r="AN2487" s="93">
        <v>21</v>
      </c>
      <c r="AO2487" s="93">
        <f>H2487*0.954232143</f>
        <v>0</v>
      </c>
      <c r="AP2487" s="93">
        <f>H2487*(1-0.954232143)</f>
        <v>0</v>
      </c>
      <c r="AQ2487" s="94" t="s">
        <v>148</v>
      </c>
      <c r="AV2487" s="93">
        <f t="shared" si="531"/>
        <v>0</v>
      </c>
      <c r="AW2487" s="93">
        <f t="shared" si="532"/>
        <v>0</v>
      </c>
      <c r="AX2487" s="93">
        <f t="shared" si="533"/>
        <v>0</v>
      </c>
      <c r="AY2487" s="94" t="s">
        <v>3131</v>
      </c>
      <c r="AZ2487" s="94" t="s">
        <v>2927</v>
      </c>
      <c r="BA2487" s="88" t="s">
        <v>67</v>
      </c>
      <c r="BC2487" s="93">
        <f t="shared" si="534"/>
        <v>0</v>
      </c>
      <c r="BD2487" s="93">
        <f t="shared" si="535"/>
        <v>0</v>
      </c>
      <c r="BE2487" s="93">
        <v>0</v>
      </c>
      <c r="BF2487" s="93">
        <f t="shared" si="536"/>
        <v>3.3899999999999998E-3</v>
      </c>
      <c r="BH2487" s="93">
        <f t="shared" si="537"/>
        <v>0</v>
      </c>
      <c r="BI2487" s="93">
        <f t="shared" si="538"/>
        <v>0</v>
      </c>
      <c r="BJ2487" s="93">
        <f t="shared" si="539"/>
        <v>0</v>
      </c>
      <c r="BK2487" s="93"/>
      <c r="BL2487" s="93"/>
      <c r="BW2487" s="93" t="str">
        <f t="shared" si="540"/>
        <v>21</v>
      </c>
      <c r="BX2487" s="2" t="s">
        <v>3387</v>
      </c>
    </row>
    <row r="2488" spans="1:76" s="81" customFormat="1" ht="25.5" x14ac:dyDescent="0.25">
      <c r="A2488" s="66" t="s">
        <v>3398</v>
      </c>
      <c r="B2488" s="72" t="s">
        <v>55</v>
      </c>
      <c r="C2488" s="72" t="s">
        <v>3388</v>
      </c>
      <c r="D2488" s="174" t="s">
        <v>3389</v>
      </c>
      <c r="E2488" s="174"/>
      <c r="F2488" s="72" t="s">
        <v>203</v>
      </c>
      <c r="G2488" s="90">
        <v>51</v>
      </c>
      <c r="H2488" s="91"/>
      <c r="I2488" s="92" t="s">
        <v>63</v>
      </c>
      <c r="J2488" s="90">
        <f t="shared" si="515"/>
        <v>0</v>
      </c>
      <c r="K2488" s="90">
        <f t="shared" si="516"/>
        <v>0</v>
      </c>
      <c r="L2488" s="90">
        <f t="shared" si="517"/>
        <v>0</v>
      </c>
      <c r="M2488" s="90">
        <f t="shared" si="518"/>
        <v>0</v>
      </c>
      <c r="N2488" s="90">
        <v>0</v>
      </c>
      <c r="O2488" s="90">
        <f t="shared" si="519"/>
        <v>0</v>
      </c>
      <c r="P2488" s="92" t="s">
        <v>64</v>
      </c>
      <c r="Z2488" s="93">
        <f t="shared" si="520"/>
        <v>0</v>
      </c>
      <c r="AB2488" s="93">
        <f t="shared" si="521"/>
        <v>0</v>
      </c>
      <c r="AC2488" s="93">
        <f t="shared" si="522"/>
        <v>0</v>
      </c>
      <c r="AD2488" s="93">
        <f t="shared" si="523"/>
        <v>0</v>
      </c>
      <c r="AE2488" s="93">
        <f t="shared" si="524"/>
        <v>0</v>
      </c>
      <c r="AF2488" s="93">
        <f t="shared" si="525"/>
        <v>0</v>
      </c>
      <c r="AG2488" s="93">
        <f t="shared" si="526"/>
        <v>0</v>
      </c>
      <c r="AH2488" s="93">
        <f t="shared" si="527"/>
        <v>0</v>
      </c>
      <c r="AI2488" s="88" t="s">
        <v>55</v>
      </c>
      <c r="AJ2488" s="93">
        <f t="shared" si="528"/>
        <v>0</v>
      </c>
      <c r="AK2488" s="93">
        <f t="shared" si="529"/>
        <v>0</v>
      </c>
      <c r="AL2488" s="93">
        <f t="shared" si="530"/>
        <v>0</v>
      </c>
      <c r="AN2488" s="93">
        <v>21</v>
      </c>
      <c r="AO2488" s="93">
        <f>H2488*0</f>
        <v>0</v>
      </c>
      <c r="AP2488" s="93">
        <f>H2488*(1-0)</f>
        <v>0</v>
      </c>
      <c r="AQ2488" s="94" t="s">
        <v>148</v>
      </c>
      <c r="AV2488" s="93">
        <f t="shared" si="531"/>
        <v>0</v>
      </c>
      <c r="AW2488" s="93">
        <f t="shared" si="532"/>
        <v>0</v>
      </c>
      <c r="AX2488" s="93">
        <f t="shared" si="533"/>
        <v>0</v>
      </c>
      <c r="AY2488" s="94" t="s">
        <v>3131</v>
      </c>
      <c r="AZ2488" s="94" t="s">
        <v>2927</v>
      </c>
      <c r="BA2488" s="88" t="s">
        <v>67</v>
      </c>
      <c r="BC2488" s="93">
        <f t="shared" si="534"/>
        <v>0</v>
      </c>
      <c r="BD2488" s="93">
        <f t="shared" si="535"/>
        <v>0</v>
      </c>
      <c r="BE2488" s="93">
        <v>0</v>
      </c>
      <c r="BF2488" s="93">
        <f t="shared" si="536"/>
        <v>0</v>
      </c>
      <c r="BH2488" s="93">
        <f t="shared" si="537"/>
        <v>0</v>
      </c>
      <c r="BI2488" s="93">
        <f t="shared" si="538"/>
        <v>0</v>
      </c>
      <c r="BJ2488" s="93">
        <f t="shared" si="539"/>
        <v>0</v>
      </c>
      <c r="BK2488" s="93"/>
      <c r="BL2488" s="93"/>
      <c r="BW2488" s="93" t="str">
        <f t="shared" si="540"/>
        <v>21</v>
      </c>
      <c r="BX2488" s="2" t="s">
        <v>3389</v>
      </c>
    </row>
    <row r="2489" spans="1:76" s="81" customFormat="1" x14ac:dyDescent="0.25">
      <c r="A2489" s="110"/>
      <c r="B2489" s="95"/>
      <c r="C2489" s="95"/>
      <c r="D2489" s="76" t="s">
        <v>3390</v>
      </c>
      <c r="E2489" s="76" t="s">
        <v>54</v>
      </c>
      <c r="F2489" s="95"/>
      <c r="G2489" s="96">
        <v>51</v>
      </c>
      <c r="H2489" s="95"/>
      <c r="I2489" s="95"/>
      <c r="J2489" s="95"/>
      <c r="K2489" s="95"/>
      <c r="L2489" s="95"/>
      <c r="M2489" s="95"/>
      <c r="N2489" s="95"/>
      <c r="O2489" s="95"/>
      <c r="P2489" s="95"/>
    </row>
    <row r="2490" spans="1:76" s="81" customFormat="1" ht="25.5" x14ac:dyDescent="0.25">
      <c r="A2490" s="66" t="s">
        <v>3402</v>
      </c>
      <c r="B2490" s="72" t="s">
        <v>55</v>
      </c>
      <c r="C2490" s="72" t="s">
        <v>3392</v>
      </c>
      <c r="D2490" s="174" t="s">
        <v>3393</v>
      </c>
      <c r="E2490" s="174"/>
      <c r="F2490" s="72" t="s">
        <v>213</v>
      </c>
      <c r="G2490" s="90">
        <v>548</v>
      </c>
      <c r="H2490" s="91"/>
      <c r="I2490" s="92" t="s">
        <v>63</v>
      </c>
      <c r="J2490" s="90">
        <f>G2490*AO2490</f>
        <v>0</v>
      </c>
      <c r="K2490" s="90">
        <f>G2490*AP2490</f>
        <v>0</v>
      </c>
      <c r="L2490" s="90">
        <f>G2490*H2490</f>
        <v>0</v>
      </c>
      <c r="M2490" s="90">
        <f>L2490*(1+BW2490/100)</f>
        <v>0</v>
      </c>
      <c r="N2490" s="90">
        <v>3.8000000000000002E-4</v>
      </c>
      <c r="O2490" s="90">
        <f>G2490*N2490</f>
        <v>0.20824000000000001</v>
      </c>
      <c r="P2490" s="92" t="s">
        <v>64</v>
      </c>
      <c r="Z2490" s="93">
        <f>IF(AQ2490="5",BJ2490,0)</f>
        <v>0</v>
      </c>
      <c r="AB2490" s="93">
        <f>IF(AQ2490="1",BH2490,0)</f>
        <v>0</v>
      </c>
      <c r="AC2490" s="93">
        <f>IF(AQ2490="1",BI2490,0)</f>
        <v>0</v>
      </c>
      <c r="AD2490" s="93">
        <f>IF(AQ2490="7",BH2490,0)</f>
        <v>0</v>
      </c>
      <c r="AE2490" s="93">
        <f>IF(AQ2490="7",BI2490,0)</f>
        <v>0</v>
      </c>
      <c r="AF2490" s="93">
        <f>IF(AQ2490="2",BH2490,0)</f>
        <v>0</v>
      </c>
      <c r="AG2490" s="93">
        <f>IF(AQ2490="2",BI2490,0)</f>
        <v>0</v>
      </c>
      <c r="AH2490" s="93">
        <f>IF(AQ2490="0",BJ2490,0)</f>
        <v>0</v>
      </c>
      <c r="AI2490" s="88" t="s">
        <v>55</v>
      </c>
      <c r="AJ2490" s="93">
        <f>IF(AN2490=0,L2490,0)</f>
        <v>0</v>
      </c>
      <c r="AK2490" s="93">
        <f>IF(AN2490=12,L2490,0)</f>
        <v>0</v>
      </c>
      <c r="AL2490" s="93">
        <f>IF(AN2490=21,L2490,0)</f>
        <v>0</v>
      </c>
      <c r="AN2490" s="93">
        <v>21</v>
      </c>
      <c r="AO2490" s="93">
        <f>H2490*0.223214286</f>
        <v>0</v>
      </c>
      <c r="AP2490" s="93">
        <f>H2490*(1-0.223214286)</f>
        <v>0</v>
      </c>
      <c r="AQ2490" s="94" t="s">
        <v>148</v>
      </c>
      <c r="AV2490" s="93">
        <f>AW2490+AX2490</f>
        <v>0</v>
      </c>
      <c r="AW2490" s="93">
        <f>G2490*AO2490</f>
        <v>0</v>
      </c>
      <c r="AX2490" s="93">
        <f>G2490*AP2490</f>
        <v>0</v>
      </c>
      <c r="AY2490" s="94" t="s">
        <v>3131</v>
      </c>
      <c r="AZ2490" s="94" t="s">
        <v>2927</v>
      </c>
      <c r="BA2490" s="88" t="s">
        <v>67</v>
      </c>
      <c r="BC2490" s="93">
        <f>AW2490+AX2490</f>
        <v>0</v>
      </c>
      <c r="BD2490" s="93">
        <f>H2490/(100-BE2490)*100</f>
        <v>0</v>
      </c>
      <c r="BE2490" s="93">
        <v>0</v>
      </c>
      <c r="BF2490" s="93">
        <f>O2490</f>
        <v>0.20824000000000001</v>
      </c>
      <c r="BH2490" s="93">
        <f>G2490*AO2490</f>
        <v>0</v>
      </c>
      <c r="BI2490" s="93">
        <f>G2490*AP2490</f>
        <v>0</v>
      </c>
      <c r="BJ2490" s="93">
        <f>G2490*H2490</f>
        <v>0</v>
      </c>
      <c r="BK2490" s="93"/>
      <c r="BL2490" s="93"/>
      <c r="BW2490" s="93" t="str">
        <f>I2490</f>
        <v>21</v>
      </c>
      <c r="BX2490" s="2" t="s">
        <v>3393</v>
      </c>
    </row>
    <row r="2491" spans="1:76" s="81" customFormat="1" ht="25.5" x14ac:dyDescent="0.25">
      <c r="A2491" s="66" t="s">
        <v>3404</v>
      </c>
      <c r="B2491" s="72" t="s">
        <v>55</v>
      </c>
      <c r="C2491" s="72" t="s">
        <v>3395</v>
      </c>
      <c r="D2491" s="174" t="s">
        <v>3396</v>
      </c>
      <c r="E2491" s="174"/>
      <c r="F2491" s="72" t="s">
        <v>213</v>
      </c>
      <c r="G2491" s="90">
        <v>548</v>
      </c>
      <c r="H2491" s="91"/>
      <c r="I2491" s="92" t="s">
        <v>63</v>
      </c>
      <c r="J2491" s="90">
        <f>G2491*AO2491</f>
        <v>0</v>
      </c>
      <c r="K2491" s="90">
        <f>G2491*AP2491</f>
        <v>0</v>
      </c>
      <c r="L2491" s="90">
        <f>G2491*H2491</f>
        <v>0</v>
      </c>
      <c r="M2491" s="90">
        <f>L2491*(1+BW2491/100)</f>
        <v>0</v>
      </c>
      <c r="N2491" s="90">
        <v>1.0000000000000001E-5</v>
      </c>
      <c r="O2491" s="90">
        <f>G2491*N2491</f>
        <v>5.4800000000000005E-3</v>
      </c>
      <c r="P2491" s="92" t="s">
        <v>64</v>
      </c>
      <c r="Z2491" s="93">
        <f>IF(AQ2491="5",BJ2491,0)</f>
        <v>0</v>
      </c>
      <c r="AB2491" s="93">
        <f>IF(AQ2491="1",BH2491,0)</f>
        <v>0</v>
      </c>
      <c r="AC2491" s="93">
        <f>IF(AQ2491="1",BI2491,0)</f>
        <v>0</v>
      </c>
      <c r="AD2491" s="93">
        <f>IF(AQ2491="7",BH2491,0)</f>
        <v>0</v>
      </c>
      <c r="AE2491" s="93">
        <f>IF(AQ2491="7",BI2491,0)</f>
        <v>0</v>
      </c>
      <c r="AF2491" s="93">
        <f>IF(AQ2491="2",BH2491,0)</f>
        <v>0</v>
      </c>
      <c r="AG2491" s="93">
        <f>IF(AQ2491="2",BI2491,0)</f>
        <v>0</v>
      </c>
      <c r="AH2491" s="93">
        <f>IF(AQ2491="0",BJ2491,0)</f>
        <v>0</v>
      </c>
      <c r="AI2491" s="88" t="s">
        <v>55</v>
      </c>
      <c r="AJ2491" s="93">
        <f>IF(AN2491=0,L2491,0)</f>
        <v>0</v>
      </c>
      <c r="AK2491" s="93">
        <f>IF(AN2491=12,L2491,0)</f>
        <v>0</v>
      </c>
      <c r="AL2491" s="93">
        <f>IF(AN2491=21,L2491,0)</f>
        <v>0</v>
      </c>
      <c r="AN2491" s="93">
        <v>21</v>
      </c>
      <c r="AO2491" s="93">
        <f>H2491*0.054324324</f>
        <v>0</v>
      </c>
      <c r="AP2491" s="93">
        <f>H2491*(1-0.054324324)</f>
        <v>0</v>
      </c>
      <c r="AQ2491" s="94" t="s">
        <v>148</v>
      </c>
      <c r="AV2491" s="93">
        <f>AW2491+AX2491</f>
        <v>0</v>
      </c>
      <c r="AW2491" s="93">
        <f>G2491*AO2491</f>
        <v>0</v>
      </c>
      <c r="AX2491" s="93">
        <f>G2491*AP2491</f>
        <v>0</v>
      </c>
      <c r="AY2491" s="94" t="s">
        <v>3131</v>
      </c>
      <c r="AZ2491" s="94" t="s">
        <v>2927</v>
      </c>
      <c r="BA2491" s="88" t="s">
        <v>67</v>
      </c>
      <c r="BC2491" s="93">
        <f>AW2491+AX2491</f>
        <v>0</v>
      </c>
      <c r="BD2491" s="93">
        <f>H2491/(100-BE2491)*100</f>
        <v>0</v>
      </c>
      <c r="BE2491" s="93">
        <v>0</v>
      </c>
      <c r="BF2491" s="93">
        <f>O2491</f>
        <v>5.4800000000000005E-3</v>
      </c>
      <c r="BH2491" s="93">
        <f>G2491*AO2491</f>
        <v>0</v>
      </c>
      <c r="BI2491" s="93">
        <f>G2491*AP2491</f>
        <v>0</v>
      </c>
      <c r="BJ2491" s="93">
        <f>G2491*H2491</f>
        <v>0</v>
      </c>
      <c r="BK2491" s="93"/>
      <c r="BL2491" s="93"/>
      <c r="BW2491" s="93" t="str">
        <f>I2491</f>
        <v>21</v>
      </c>
      <c r="BX2491" s="2" t="s">
        <v>3396</v>
      </c>
    </row>
    <row r="2492" spans="1:76" s="81" customFormat="1" x14ac:dyDescent="0.25">
      <c r="A2492" s="110"/>
      <c r="B2492" s="95"/>
      <c r="C2492" s="95"/>
      <c r="D2492" s="76" t="s">
        <v>3397</v>
      </c>
      <c r="E2492" s="76" t="s">
        <v>54</v>
      </c>
      <c r="F2492" s="95"/>
      <c r="G2492" s="96">
        <v>548</v>
      </c>
      <c r="H2492" s="95"/>
      <c r="I2492" s="95"/>
      <c r="J2492" s="95"/>
      <c r="K2492" s="95"/>
      <c r="L2492" s="95"/>
      <c r="M2492" s="95"/>
      <c r="N2492" s="95"/>
      <c r="O2492" s="95"/>
      <c r="P2492" s="95"/>
    </row>
    <row r="2493" spans="1:76" s="81" customFormat="1" ht="25.5" x14ac:dyDescent="0.25">
      <c r="A2493" s="66" t="s">
        <v>3408</v>
      </c>
      <c r="B2493" s="72" t="s">
        <v>55</v>
      </c>
      <c r="C2493" s="72" t="s">
        <v>3399</v>
      </c>
      <c r="D2493" s="174" t="s">
        <v>3400</v>
      </c>
      <c r="E2493" s="174"/>
      <c r="F2493" s="72" t="s">
        <v>213</v>
      </c>
      <c r="G2493" s="90">
        <v>225</v>
      </c>
      <c r="H2493" s="91"/>
      <c r="I2493" s="92" t="s">
        <v>63</v>
      </c>
      <c r="J2493" s="90">
        <f>G2493*AO2493</f>
        <v>0</v>
      </c>
      <c r="K2493" s="90">
        <f>G2493*AP2493</f>
        <v>0</v>
      </c>
      <c r="L2493" s="90">
        <f>G2493*H2493</f>
        <v>0</v>
      </c>
      <c r="M2493" s="90">
        <f>L2493*(1+BW2493/100)</f>
        <v>0</v>
      </c>
      <c r="N2493" s="90">
        <v>3.0000000000000001E-5</v>
      </c>
      <c r="O2493" s="90">
        <f>G2493*N2493</f>
        <v>6.7499999999999999E-3</v>
      </c>
      <c r="P2493" s="92" t="s">
        <v>64</v>
      </c>
      <c r="Z2493" s="93">
        <f>IF(AQ2493="5",BJ2493,0)</f>
        <v>0</v>
      </c>
      <c r="AB2493" s="93">
        <f>IF(AQ2493="1",BH2493,0)</f>
        <v>0</v>
      </c>
      <c r="AC2493" s="93">
        <f>IF(AQ2493="1",BI2493,0)</f>
        <v>0</v>
      </c>
      <c r="AD2493" s="93">
        <f>IF(AQ2493="7",BH2493,0)</f>
        <v>0</v>
      </c>
      <c r="AE2493" s="93">
        <f>IF(AQ2493="7",BI2493,0)</f>
        <v>0</v>
      </c>
      <c r="AF2493" s="93">
        <f>IF(AQ2493="2",BH2493,0)</f>
        <v>0</v>
      </c>
      <c r="AG2493" s="93">
        <f>IF(AQ2493="2",BI2493,0)</f>
        <v>0</v>
      </c>
      <c r="AH2493" s="93">
        <f>IF(AQ2493="0",BJ2493,0)</f>
        <v>0</v>
      </c>
      <c r="AI2493" s="88" t="s">
        <v>55</v>
      </c>
      <c r="AJ2493" s="93">
        <f>IF(AN2493=0,L2493,0)</f>
        <v>0</v>
      </c>
      <c r="AK2493" s="93">
        <f>IF(AN2493=12,L2493,0)</f>
        <v>0</v>
      </c>
      <c r="AL2493" s="93">
        <f>IF(AN2493=21,L2493,0)</f>
        <v>0</v>
      </c>
      <c r="AN2493" s="93">
        <v>21</v>
      </c>
      <c r="AO2493" s="93">
        <f>H2493*0.351009396</f>
        <v>0</v>
      </c>
      <c r="AP2493" s="93">
        <f>H2493*(1-0.351009396)</f>
        <v>0</v>
      </c>
      <c r="AQ2493" s="94" t="s">
        <v>148</v>
      </c>
      <c r="AV2493" s="93">
        <f>AW2493+AX2493</f>
        <v>0</v>
      </c>
      <c r="AW2493" s="93">
        <f>G2493*AO2493</f>
        <v>0</v>
      </c>
      <c r="AX2493" s="93">
        <f>G2493*AP2493</f>
        <v>0</v>
      </c>
      <c r="AY2493" s="94" t="s">
        <v>3131</v>
      </c>
      <c r="AZ2493" s="94" t="s">
        <v>2927</v>
      </c>
      <c r="BA2493" s="88" t="s">
        <v>67</v>
      </c>
      <c r="BC2493" s="93">
        <f>AW2493+AX2493</f>
        <v>0</v>
      </c>
      <c r="BD2493" s="93">
        <f>H2493/(100-BE2493)*100</f>
        <v>0</v>
      </c>
      <c r="BE2493" s="93">
        <v>0</v>
      </c>
      <c r="BF2493" s="93">
        <f>O2493</f>
        <v>6.7499999999999999E-3</v>
      </c>
      <c r="BH2493" s="93">
        <f>G2493*AO2493</f>
        <v>0</v>
      </c>
      <c r="BI2493" s="93">
        <f>G2493*AP2493</f>
        <v>0</v>
      </c>
      <c r="BJ2493" s="93">
        <f>G2493*H2493</f>
        <v>0</v>
      </c>
      <c r="BK2493" s="93"/>
      <c r="BL2493" s="93"/>
      <c r="BW2493" s="93" t="str">
        <f>I2493</f>
        <v>21</v>
      </c>
      <c r="BX2493" s="2" t="s">
        <v>3400</v>
      </c>
    </row>
    <row r="2494" spans="1:76" s="81" customFormat="1" ht="13.5" customHeight="1" x14ac:dyDescent="0.25">
      <c r="A2494" s="110"/>
      <c r="B2494" s="95"/>
      <c r="C2494" s="95"/>
      <c r="D2494" s="179" t="s">
        <v>3401</v>
      </c>
      <c r="E2494" s="179"/>
      <c r="F2494" s="179"/>
      <c r="G2494" s="179"/>
      <c r="H2494" s="179"/>
      <c r="I2494" s="179"/>
      <c r="J2494" s="179"/>
      <c r="K2494" s="179"/>
      <c r="L2494" s="179"/>
      <c r="M2494" s="179"/>
      <c r="N2494" s="179"/>
      <c r="O2494" s="179"/>
      <c r="P2494" s="179"/>
    </row>
    <row r="2495" spans="1:76" s="81" customFormat="1" ht="25.5" x14ac:dyDescent="0.25">
      <c r="A2495" s="66" t="s">
        <v>3412</v>
      </c>
      <c r="B2495" s="72" t="s">
        <v>55</v>
      </c>
      <c r="C2495" s="72" t="s">
        <v>2012</v>
      </c>
      <c r="D2495" s="174" t="s">
        <v>3400</v>
      </c>
      <c r="E2495" s="174"/>
      <c r="F2495" s="72" t="s">
        <v>213</v>
      </c>
      <c r="G2495" s="90">
        <v>10</v>
      </c>
      <c r="H2495" s="91"/>
      <c r="I2495" s="92" t="s">
        <v>63</v>
      </c>
      <c r="J2495" s="90">
        <f>G2495*AO2495</f>
        <v>0</v>
      </c>
      <c r="K2495" s="90">
        <f>G2495*AP2495</f>
        <v>0</v>
      </c>
      <c r="L2495" s="90">
        <f>G2495*H2495</f>
        <v>0</v>
      </c>
      <c r="M2495" s="90">
        <f>L2495*(1+BW2495/100)</f>
        <v>0</v>
      </c>
      <c r="N2495" s="90">
        <v>5.0000000000000002E-5</v>
      </c>
      <c r="O2495" s="90">
        <f>G2495*N2495</f>
        <v>5.0000000000000001E-4</v>
      </c>
      <c r="P2495" s="92" t="s">
        <v>64</v>
      </c>
      <c r="Z2495" s="93">
        <f>IF(AQ2495="5",BJ2495,0)</f>
        <v>0</v>
      </c>
      <c r="AB2495" s="93">
        <f>IF(AQ2495="1",BH2495,0)</f>
        <v>0</v>
      </c>
      <c r="AC2495" s="93">
        <f>IF(AQ2495="1",BI2495,0)</f>
        <v>0</v>
      </c>
      <c r="AD2495" s="93">
        <f>IF(AQ2495="7",BH2495,0)</f>
        <v>0</v>
      </c>
      <c r="AE2495" s="93">
        <f>IF(AQ2495="7",BI2495,0)</f>
        <v>0</v>
      </c>
      <c r="AF2495" s="93">
        <f>IF(AQ2495="2",BH2495,0)</f>
        <v>0</v>
      </c>
      <c r="AG2495" s="93">
        <f>IF(AQ2495="2",BI2495,0)</f>
        <v>0</v>
      </c>
      <c r="AH2495" s="93">
        <f>IF(AQ2495="0",BJ2495,0)</f>
        <v>0</v>
      </c>
      <c r="AI2495" s="88" t="s">
        <v>55</v>
      </c>
      <c r="AJ2495" s="93">
        <f>IF(AN2495=0,L2495,0)</f>
        <v>0</v>
      </c>
      <c r="AK2495" s="93">
        <f>IF(AN2495=12,L2495,0)</f>
        <v>0</v>
      </c>
      <c r="AL2495" s="93">
        <f>IF(AN2495=21,L2495,0)</f>
        <v>0</v>
      </c>
      <c r="AN2495" s="93">
        <v>21</v>
      </c>
      <c r="AO2495" s="93">
        <f>H2495*0.399315254</f>
        <v>0</v>
      </c>
      <c r="AP2495" s="93">
        <f>H2495*(1-0.399315254)</f>
        <v>0</v>
      </c>
      <c r="AQ2495" s="94" t="s">
        <v>148</v>
      </c>
      <c r="AV2495" s="93">
        <f>AW2495+AX2495</f>
        <v>0</v>
      </c>
      <c r="AW2495" s="93">
        <f>G2495*AO2495</f>
        <v>0</v>
      </c>
      <c r="AX2495" s="93">
        <f>G2495*AP2495</f>
        <v>0</v>
      </c>
      <c r="AY2495" s="94" t="s">
        <v>3131</v>
      </c>
      <c r="AZ2495" s="94" t="s">
        <v>2927</v>
      </c>
      <c r="BA2495" s="88" t="s">
        <v>67</v>
      </c>
      <c r="BC2495" s="93">
        <f>AW2495+AX2495</f>
        <v>0</v>
      </c>
      <c r="BD2495" s="93">
        <f>H2495/(100-BE2495)*100</f>
        <v>0</v>
      </c>
      <c r="BE2495" s="93">
        <v>0</v>
      </c>
      <c r="BF2495" s="93">
        <f>O2495</f>
        <v>5.0000000000000001E-4</v>
      </c>
      <c r="BH2495" s="93">
        <f>G2495*AO2495</f>
        <v>0</v>
      </c>
      <c r="BI2495" s="93">
        <f>G2495*AP2495</f>
        <v>0</v>
      </c>
      <c r="BJ2495" s="93">
        <f>G2495*H2495</f>
        <v>0</v>
      </c>
      <c r="BK2495" s="93"/>
      <c r="BL2495" s="93"/>
      <c r="BW2495" s="93" t="str">
        <f>I2495</f>
        <v>21</v>
      </c>
      <c r="BX2495" s="2" t="s">
        <v>3400</v>
      </c>
    </row>
    <row r="2496" spans="1:76" s="81" customFormat="1" ht="13.5" customHeight="1" x14ac:dyDescent="0.25">
      <c r="A2496" s="110"/>
      <c r="B2496" s="95"/>
      <c r="C2496" s="95"/>
      <c r="D2496" s="179" t="s">
        <v>3403</v>
      </c>
      <c r="E2496" s="179"/>
      <c r="F2496" s="179"/>
      <c r="G2496" s="179"/>
      <c r="H2496" s="179"/>
      <c r="I2496" s="179"/>
      <c r="J2496" s="179"/>
      <c r="K2496" s="179"/>
      <c r="L2496" s="179"/>
      <c r="M2496" s="179"/>
      <c r="N2496" s="179"/>
      <c r="O2496" s="179"/>
      <c r="P2496" s="179"/>
    </row>
    <row r="2497" spans="1:76" s="81" customFormat="1" ht="25.5" x14ac:dyDescent="0.25">
      <c r="A2497" s="66" t="s">
        <v>3415</v>
      </c>
      <c r="B2497" s="72" t="s">
        <v>55</v>
      </c>
      <c r="C2497" s="72" t="s">
        <v>3405</v>
      </c>
      <c r="D2497" s="174" t="s">
        <v>3406</v>
      </c>
      <c r="E2497" s="174"/>
      <c r="F2497" s="72" t="s">
        <v>213</v>
      </c>
      <c r="G2497" s="90">
        <v>24</v>
      </c>
      <c r="H2497" s="91"/>
      <c r="I2497" s="92" t="s">
        <v>63</v>
      </c>
      <c r="J2497" s="90">
        <f>G2497*AO2497</f>
        <v>0</v>
      </c>
      <c r="K2497" s="90">
        <f>G2497*AP2497</f>
        <v>0</v>
      </c>
      <c r="L2497" s="90">
        <f>G2497*H2497</f>
        <v>0</v>
      </c>
      <c r="M2497" s="90">
        <f>L2497*(1+BW2497/100)</f>
        <v>0</v>
      </c>
      <c r="N2497" s="90">
        <v>3.0000000000000001E-5</v>
      </c>
      <c r="O2497" s="90">
        <f>G2497*N2497</f>
        <v>7.2000000000000005E-4</v>
      </c>
      <c r="P2497" s="92" t="s">
        <v>64</v>
      </c>
      <c r="Z2497" s="93">
        <f>IF(AQ2497="5",BJ2497,0)</f>
        <v>0</v>
      </c>
      <c r="AB2497" s="93">
        <f>IF(AQ2497="1",BH2497,0)</f>
        <v>0</v>
      </c>
      <c r="AC2497" s="93">
        <f>IF(AQ2497="1",BI2497,0)</f>
        <v>0</v>
      </c>
      <c r="AD2497" s="93">
        <f>IF(AQ2497="7",BH2497,0)</f>
        <v>0</v>
      </c>
      <c r="AE2497" s="93">
        <f>IF(AQ2497="7",BI2497,0)</f>
        <v>0</v>
      </c>
      <c r="AF2497" s="93">
        <f>IF(AQ2497="2",BH2497,0)</f>
        <v>0</v>
      </c>
      <c r="AG2497" s="93">
        <f>IF(AQ2497="2",BI2497,0)</f>
        <v>0</v>
      </c>
      <c r="AH2497" s="93">
        <f>IF(AQ2497="0",BJ2497,0)</f>
        <v>0</v>
      </c>
      <c r="AI2497" s="88" t="s">
        <v>55</v>
      </c>
      <c r="AJ2497" s="93">
        <f>IF(AN2497=0,L2497,0)</f>
        <v>0</v>
      </c>
      <c r="AK2497" s="93">
        <f>IF(AN2497=12,L2497,0)</f>
        <v>0</v>
      </c>
      <c r="AL2497" s="93">
        <f>IF(AN2497=21,L2497,0)</f>
        <v>0</v>
      </c>
      <c r="AN2497" s="93">
        <v>21</v>
      </c>
      <c r="AO2497" s="93">
        <f>H2497*0.463343334</f>
        <v>0</v>
      </c>
      <c r="AP2497" s="93">
        <f>H2497*(1-0.463343334)</f>
        <v>0</v>
      </c>
      <c r="AQ2497" s="94" t="s">
        <v>148</v>
      </c>
      <c r="AV2497" s="93">
        <f>AW2497+AX2497</f>
        <v>0</v>
      </c>
      <c r="AW2497" s="93">
        <f>G2497*AO2497</f>
        <v>0</v>
      </c>
      <c r="AX2497" s="93">
        <f>G2497*AP2497</f>
        <v>0</v>
      </c>
      <c r="AY2497" s="94" t="s">
        <v>3131</v>
      </c>
      <c r="AZ2497" s="94" t="s">
        <v>2927</v>
      </c>
      <c r="BA2497" s="88" t="s">
        <v>67</v>
      </c>
      <c r="BC2497" s="93">
        <f>AW2497+AX2497</f>
        <v>0</v>
      </c>
      <c r="BD2497" s="93">
        <f>H2497/(100-BE2497)*100</f>
        <v>0</v>
      </c>
      <c r="BE2497" s="93">
        <v>0</v>
      </c>
      <c r="BF2497" s="93">
        <f>O2497</f>
        <v>7.2000000000000005E-4</v>
      </c>
      <c r="BH2497" s="93">
        <f>G2497*AO2497</f>
        <v>0</v>
      </c>
      <c r="BI2497" s="93">
        <f>G2497*AP2497</f>
        <v>0</v>
      </c>
      <c r="BJ2497" s="93">
        <f>G2497*H2497</f>
        <v>0</v>
      </c>
      <c r="BK2497" s="93"/>
      <c r="BL2497" s="93"/>
      <c r="BW2497" s="93" t="str">
        <f>I2497</f>
        <v>21</v>
      </c>
      <c r="BX2497" s="2" t="s">
        <v>3406</v>
      </c>
    </row>
    <row r="2498" spans="1:76" s="81" customFormat="1" ht="13.5" customHeight="1" x14ac:dyDescent="0.25">
      <c r="A2498" s="110"/>
      <c r="B2498" s="95"/>
      <c r="C2498" s="95"/>
      <c r="D2498" s="179" t="s">
        <v>3407</v>
      </c>
      <c r="E2498" s="179"/>
      <c r="F2498" s="179"/>
      <c r="G2498" s="179"/>
      <c r="H2498" s="179"/>
      <c r="I2498" s="179"/>
      <c r="J2498" s="179"/>
      <c r="K2498" s="179"/>
      <c r="L2498" s="179"/>
      <c r="M2498" s="179"/>
      <c r="N2498" s="179"/>
      <c r="O2498" s="179"/>
      <c r="P2498" s="179"/>
    </row>
    <row r="2499" spans="1:76" s="81" customFormat="1" ht="25.5" x14ac:dyDescent="0.25">
      <c r="A2499" s="66" t="s">
        <v>3418</v>
      </c>
      <c r="B2499" s="72" t="s">
        <v>55</v>
      </c>
      <c r="C2499" s="72" t="s">
        <v>3409</v>
      </c>
      <c r="D2499" s="174" t="s">
        <v>3410</v>
      </c>
      <c r="E2499" s="174"/>
      <c r="F2499" s="72" t="s">
        <v>213</v>
      </c>
      <c r="G2499" s="90">
        <v>289</v>
      </c>
      <c r="H2499" s="91"/>
      <c r="I2499" s="92" t="s">
        <v>63</v>
      </c>
      <c r="J2499" s="90">
        <f>G2499*AO2499</f>
        <v>0</v>
      </c>
      <c r="K2499" s="90">
        <f>G2499*AP2499</f>
        <v>0</v>
      </c>
      <c r="L2499" s="90">
        <f>G2499*H2499</f>
        <v>0</v>
      </c>
      <c r="M2499" s="90">
        <f>L2499*(1+BW2499/100)</f>
        <v>0</v>
      </c>
      <c r="N2499" s="90">
        <v>0</v>
      </c>
      <c r="O2499" s="90">
        <f>G2499*N2499</f>
        <v>0</v>
      </c>
      <c r="P2499" s="92" t="s">
        <v>64</v>
      </c>
      <c r="Z2499" s="93">
        <f>IF(AQ2499="5",BJ2499,0)</f>
        <v>0</v>
      </c>
      <c r="AB2499" s="93">
        <f>IF(AQ2499="1",BH2499,0)</f>
        <v>0</v>
      </c>
      <c r="AC2499" s="93">
        <f>IF(AQ2499="1",BI2499,0)</f>
        <v>0</v>
      </c>
      <c r="AD2499" s="93">
        <f>IF(AQ2499="7",BH2499,0)</f>
        <v>0</v>
      </c>
      <c r="AE2499" s="93">
        <f>IF(AQ2499="7",BI2499,0)</f>
        <v>0</v>
      </c>
      <c r="AF2499" s="93">
        <f>IF(AQ2499="2",BH2499,0)</f>
        <v>0</v>
      </c>
      <c r="AG2499" s="93">
        <f>IF(AQ2499="2",BI2499,0)</f>
        <v>0</v>
      </c>
      <c r="AH2499" s="93">
        <f>IF(AQ2499="0",BJ2499,0)</f>
        <v>0</v>
      </c>
      <c r="AI2499" s="88" t="s">
        <v>55</v>
      </c>
      <c r="AJ2499" s="93">
        <f>IF(AN2499=0,L2499,0)</f>
        <v>0</v>
      </c>
      <c r="AK2499" s="93">
        <f>IF(AN2499=12,L2499,0)</f>
        <v>0</v>
      </c>
      <c r="AL2499" s="93">
        <f>IF(AN2499=21,L2499,0)</f>
        <v>0</v>
      </c>
      <c r="AN2499" s="93">
        <v>21</v>
      </c>
      <c r="AO2499" s="93">
        <f>H2499*0</f>
        <v>0</v>
      </c>
      <c r="AP2499" s="93">
        <f>H2499*(1-0)</f>
        <v>0</v>
      </c>
      <c r="AQ2499" s="94" t="s">
        <v>148</v>
      </c>
      <c r="AV2499" s="93">
        <f>AW2499+AX2499</f>
        <v>0</v>
      </c>
      <c r="AW2499" s="93">
        <f>G2499*AO2499</f>
        <v>0</v>
      </c>
      <c r="AX2499" s="93">
        <f>G2499*AP2499</f>
        <v>0</v>
      </c>
      <c r="AY2499" s="94" t="s">
        <v>3131</v>
      </c>
      <c r="AZ2499" s="94" t="s">
        <v>2927</v>
      </c>
      <c r="BA2499" s="88" t="s">
        <v>67</v>
      </c>
      <c r="BC2499" s="93">
        <f>AW2499+AX2499</f>
        <v>0</v>
      </c>
      <c r="BD2499" s="93">
        <f>H2499/(100-BE2499)*100</f>
        <v>0</v>
      </c>
      <c r="BE2499" s="93">
        <v>0</v>
      </c>
      <c r="BF2499" s="93">
        <f>O2499</f>
        <v>0</v>
      </c>
      <c r="BH2499" s="93">
        <f>G2499*AO2499</f>
        <v>0</v>
      </c>
      <c r="BI2499" s="93">
        <f>G2499*AP2499</f>
        <v>0</v>
      </c>
      <c r="BJ2499" s="93">
        <f>G2499*H2499</f>
        <v>0</v>
      </c>
      <c r="BK2499" s="93"/>
      <c r="BL2499" s="93"/>
      <c r="BW2499" s="93" t="str">
        <f>I2499</f>
        <v>21</v>
      </c>
      <c r="BX2499" s="2" t="s">
        <v>3410</v>
      </c>
    </row>
    <row r="2500" spans="1:76" s="81" customFormat="1" x14ac:dyDescent="0.25">
      <c r="A2500" s="110"/>
      <c r="B2500" s="95"/>
      <c r="C2500" s="95"/>
      <c r="D2500" s="76" t="s">
        <v>3411</v>
      </c>
      <c r="E2500" s="76" t="s">
        <v>54</v>
      </c>
      <c r="F2500" s="95"/>
      <c r="G2500" s="96">
        <v>289</v>
      </c>
      <c r="H2500" s="95"/>
      <c r="I2500" s="95"/>
      <c r="J2500" s="95"/>
      <c r="K2500" s="95"/>
      <c r="L2500" s="95"/>
      <c r="M2500" s="95"/>
      <c r="N2500" s="95"/>
      <c r="O2500" s="95"/>
      <c r="P2500" s="95"/>
    </row>
    <row r="2501" spans="1:76" s="81" customFormat="1" ht="25.5" x14ac:dyDescent="0.25">
      <c r="A2501" s="66" t="s">
        <v>3421</v>
      </c>
      <c r="B2501" s="72" t="s">
        <v>55</v>
      </c>
      <c r="C2501" s="72" t="s">
        <v>3413</v>
      </c>
      <c r="D2501" s="174" t="s">
        <v>3414</v>
      </c>
      <c r="E2501" s="174"/>
      <c r="F2501" s="72" t="s">
        <v>213</v>
      </c>
      <c r="G2501" s="90">
        <v>55</v>
      </c>
      <c r="H2501" s="91"/>
      <c r="I2501" s="92" t="s">
        <v>63</v>
      </c>
      <c r="J2501" s="90">
        <f t="shared" ref="J2501:J2511" si="541">G2501*AO2501</f>
        <v>0</v>
      </c>
      <c r="K2501" s="90">
        <f t="shared" ref="K2501:K2511" si="542">G2501*AP2501</f>
        <v>0</v>
      </c>
      <c r="L2501" s="90">
        <f t="shared" ref="L2501:L2511" si="543">G2501*H2501</f>
        <v>0</v>
      </c>
      <c r="M2501" s="90">
        <f t="shared" ref="M2501:M2511" si="544">L2501*(1+BW2501/100)</f>
        <v>0</v>
      </c>
      <c r="N2501" s="90">
        <v>2.0000000000000001E-4</v>
      </c>
      <c r="O2501" s="90">
        <f t="shared" ref="O2501:O2511" si="545">G2501*N2501</f>
        <v>1.1000000000000001E-2</v>
      </c>
      <c r="P2501" s="92" t="s">
        <v>64</v>
      </c>
      <c r="Z2501" s="93">
        <f t="shared" ref="Z2501:Z2511" si="546">IF(AQ2501="5",BJ2501,0)</f>
        <v>0</v>
      </c>
      <c r="AB2501" s="93">
        <f t="shared" ref="AB2501:AB2511" si="547">IF(AQ2501="1",BH2501,0)</f>
        <v>0</v>
      </c>
      <c r="AC2501" s="93">
        <f t="shared" ref="AC2501:AC2511" si="548">IF(AQ2501="1",BI2501,0)</f>
        <v>0</v>
      </c>
      <c r="AD2501" s="93">
        <f t="shared" ref="AD2501:AD2511" si="549">IF(AQ2501="7",BH2501,0)</f>
        <v>0</v>
      </c>
      <c r="AE2501" s="93">
        <f t="shared" ref="AE2501:AE2511" si="550">IF(AQ2501="7",BI2501,0)</f>
        <v>0</v>
      </c>
      <c r="AF2501" s="93">
        <f t="shared" ref="AF2501:AF2511" si="551">IF(AQ2501="2",BH2501,0)</f>
        <v>0</v>
      </c>
      <c r="AG2501" s="93">
        <f t="shared" ref="AG2501:AG2511" si="552">IF(AQ2501="2",BI2501,0)</f>
        <v>0</v>
      </c>
      <c r="AH2501" s="93">
        <f t="shared" ref="AH2501:AH2511" si="553">IF(AQ2501="0",BJ2501,0)</f>
        <v>0</v>
      </c>
      <c r="AI2501" s="88" t="s">
        <v>55</v>
      </c>
      <c r="AJ2501" s="93">
        <f t="shared" ref="AJ2501:AJ2511" si="554">IF(AN2501=0,L2501,0)</f>
        <v>0</v>
      </c>
      <c r="AK2501" s="93">
        <f t="shared" ref="AK2501:AK2511" si="555">IF(AN2501=12,L2501,0)</f>
        <v>0</v>
      </c>
      <c r="AL2501" s="93">
        <f t="shared" ref="AL2501:AL2511" si="556">IF(AN2501=21,L2501,0)</f>
        <v>0</v>
      </c>
      <c r="AN2501" s="93">
        <v>21</v>
      </c>
      <c r="AO2501" s="93">
        <f t="shared" ref="AO2501:AO2506" si="557">H2501*1</f>
        <v>0</v>
      </c>
      <c r="AP2501" s="93">
        <f t="shared" ref="AP2501:AP2506" si="558">H2501*(1-1)</f>
        <v>0</v>
      </c>
      <c r="AQ2501" s="94" t="s">
        <v>148</v>
      </c>
      <c r="AV2501" s="93">
        <f t="shared" ref="AV2501:AV2511" si="559">AW2501+AX2501</f>
        <v>0</v>
      </c>
      <c r="AW2501" s="93">
        <f t="shared" ref="AW2501:AW2511" si="560">G2501*AO2501</f>
        <v>0</v>
      </c>
      <c r="AX2501" s="93">
        <f t="shared" ref="AX2501:AX2511" si="561">G2501*AP2501</f>
        <v>0</v>
      </c>
      <c r="AY2501" s="94" t="s">
        <v>3131</v>
      </c>
      <c r="AZ2501" s="94" t="s">
        <v>2927</v>
      </c>
      <c r="BA2501" s="88" t="s">
        <v>67</v>
      </c>
      <c r="BC2501" s="93">
        <f t="shared" ref="BC2501:BC2511" si="562">AW2501+AX2501</f>
        <v>0</v>
      </c>
      <c r="BD2501" s="93">
        <f t="shared" ref="BD2501:BD2511" si="563">H2501/(100-BE2501)*100</f>
        <v>0</v>
      </c>
      <c r="BE2501" s="93">
        <v>0</v>
      </c>
      <c r="BF2501" s="93">
        <f t="shared" ref="BF2501:BF2511" si="564">O2501</f>
        <v>1.1000000000000001E-2</v>
      </c>
      <c r="BH2501" s="93">
        <f t="shared" ref="BH2501:BH2511" si="565">G2501*AO2501</f>
        <v>0</v>
      </c>
      <c r="BI2501" s="93">
        <f t="shared" ref="BI2501:BI2511" si="566">G2501*AP2501</f>
        <v>0</v>
      </c>
      <c r="BJ2501" s="93">
        <f t="shared" ref="BJ2501:BJ2511" si="567">G2501*H2501</f>
        <v>0</v>
      </c>
      <c r="BK2501" s="93"/>
      <c r="BL2501" s="93"/>
      <c r="BW2501" s="93" t="str">
        <f t="shared" ref="BW2501:BW2511" si="568">I2501</f>
        <v>21</v>
      </c>
      <c r="BX2501" s="2" t="s">
        <v>3414</v>
      </c>
    </row>
    <row r="2502" spans="1:76" s="81" customFormat="1" ht="25.5" x14ac:dyDescent="0.25">
      <c r="A2502" s="66" t="s">
        <v>3424</v>
      </c>
      <c r="B2502" s="72" t="s">
        <v>55</v>
      </c>
      <c r="C2502" s="72" t="s">
        <v>3416</v>
      </c>
      <c r="D2502" s="174" t="s">
        <v>3417</v>
      </c>
      <c r="E2502" s="174"/>
      <c r="F2502" s="72" t="s">
        <v>213</v>
      </c>
      <c r="G2502" s="90">
        <v>35</v>
      </c>
      <c r="H2502" s="91"/>
      <c r="I2502" s="92" t="s">
        <v>63</v>
      </c>
      <c r="J2502" s="90">
        <f t="shared" si="541"/>
        <v>0</v>
      </c>
      <c r="K2502" s="90">
        <f t="shared" si="542"/>
        <v>0</v>
      </c>
      <c r="L2502" s="90">
        <f t="shared" si="543"/>
        <v>0</v>
      </c>
      <c r="M2502" s="90">
        <f t="shared" si="544"/>
        <v>0</v>
      </c>
      <c r="N2502" s="90">
        <v>7.2000000000000005E-4</v>
      </c>
      <c r="O2502" s="90">
        <f t="shared" si="545"/>
        <v>2.52E-2</v>
      </c>
      <c r="P2502" s="92" t="s">
        <v>64</v>
      </c>
      <c r="Z2502" s="93">
        <f t="shared" si="546"/>
        <v>0</v>
      </c>
      <c r="AB2502" s="93">
        <f t="shared" si="547"/>
        <v>0</v>
      </c>
      <c r="AC2502" s="93">
        <f t="shared" si="548"/>
        <v>0</v>
      </c>
      <c r="AD2502" s="93">
        <f t="shared" si="549"/>
        <v>0</v>
      </c>
      <c r="AE2502" s="93">
        <f t="shared" si="550"/>
        <v>0</v>
      </c>
      <c r="AF2502" s="93">
        <f t="shared" si="551"/>
        <v>0</v>
      </c>
      <c r="AG2502" s="93">
        <f t="shared" si="552"/>
        <v>0</v>
      </c>
      <c r="AH2502" s="93">
        <f t="shared" si="553"/>
        <v>0</v>
      </c>
      <c r="AI2502" s="88" t="s">
        <v>55</v>
      </c>
      <c r="AJ2502" s="93">
        <f t="shared" si="554"/>
        <v>0</v>
      </c>
      <c r="AK2502" s="93">
        <f t="shared" si="555"/>
        <v>0</v>
      </c>
      <c r="AL2502" s="93">
        <f t="shared" si="556"/>
        <v>0</v>
      </c>
      <c r="AN2502" s="93">
        <v>21</v>
      </c>
      <c r="AO2502" s="93">
        <f t="shared" si="557"/>
        <v>0</v>
      </c>
      <c r="AP2502" s="93">
        <f t="shared" si="558"/>
        <v>0</v>
      </c>
      <c r="AQ2502" s="94" t="s">
        <v>148</v>
      </c>
      <c r="AV2502" s="93">
        <f t="shared" si="559"/>
        <v>0</v>
      </c>
      <c r="AW2502" s="93">
        <f t="shared" si="560"/>
        <v>0</v>
      </c>
      <c r="AX2502" s="93">
        <f t="shared" si="561"/>
        <v>0</v>
      </c>
      <c r="AY2502" s="94" t="s">
        <v>3131</v>
      </c>
      <c r="AZ2502" s="94" t="s">
        <v>2927</v>
      </c>
      <c r="BA2502" s="88" t="s">
        <v>67</v>
      </c>
      <c r="BC2502" s="93">
        <f t="shared" si="562"/>
        <v>0</v>
      </c>
      <c r="BD2502" s="93">
        <f t="shared" si="563"/>
        <v>0</v>
      </c>
      <c r="BE2502" s="93">
        <v>0</v>
      </c>
      <c r="BF2502" s="93">
        <f t="shared" si="564"/>
        <v>2.52E-2</v>
      </c>
      <c r="BH2502" s="93">
        <f t="shared" si="565"/>
        <v>0</v>
      </c>
      <c r="BI2502" s="93">
        <f t="shared" si="566"/>
        <v>0</v>
      </c>
      <c r="BJ2502" s="93">
        <f t="shared" si="567"/>
        <v>0</v>
      </c>
      <c r="BK2502" s="93"/>
      <c r="BL2502" s="93"/>
      <c r="BW2502" s="93" t="str">
        <f t="shared" si="568"/>
        <v>21</v>
      </c>
      <c r="BX2502" s="2" t="s">
        <v>3417</v>
      </c>
    </row>
    <row r="2503" spans="1:76" s="81" customFormat="1" ht="25.5" x14ac:dyDescent="0.25">
      <c r="A2503" s="66" t="s">
        <v>3427</v>
      </c>
      <c r="B2503" s="72" t="s">
        <v>55</v>
      </c>
      <c r="C2503" s="72" t="s">
        <v>3419</v>
      </c>
      <c r="D2503" s="174" t="s">
        <v>3420</v>
      </c>
      <c r="E2503" s="174"/>
      <c r="F2503" s="72" t="s">
        <v>213</v>
      </c>
      <c r="G2503" s="90">
        <v>14</v>
      </c>
      <c r="H2503" s="91"/>
      <c r="I2503" s="92" t="s">
        <v>63</v>
      </c>
      <c r="J2503" s="90">
        <f t="shared" si="541"/>
        <v>0</v>
      </c>
      <c r="K2503" s="90">
        <f t="shared" si="542"/>
        <v>0</v>
      </c>
      <c r="L2503" s="90">
        <f t="shared" si="543"/>
        <v>0</v>
      </c>
      <c r="M2503" s="90">
        <f t="shared" si="544"/>
        <v>0</v>
      </c>
      <c r="N2503" s="90">
        <v>6.4999999999999997E-4</v>
      </c>
      <c r="O2503" s="90">
        <f t="shared" si="545"/>
        <v>9.1000000000000004E-3</v>
      </c>
      <c r="P2503" s="92" t="s">
        <v>64</v>
      </c>
      <c r="Z2503" s="93">
        <f t="shared" si="546"/>
        <v>0</v>
      </c>
      <c r="AB2503" s="93">
        <f t="shared" si="547"/>
        <v>0</v>
      </c>
      <c r="AC2503" s="93">
        <f t="shared" si="548"/>
        <v>0</v>
      </c>
      <c r="AD2503" s="93">
        <f t="shared" si="549"/>
        <v>0</v>
      </c>
      <c r="AE2503" s="93">
        <f t="shared" si="550"/>
        <v>0</v>
      </c>
      <c r="AF2503" s="93">
        <f t="shared" si="551"/>
        <v>0</v>
      </c>
      <c r="AG2503" s="93">
        <f t="shared" si="552"/>
        <v>0</v>
      </c>
      <c r="AH2503" s="93">
        <f t="shared" si="553"/>
        <v>0</v>
      </c>
      <c r="AI2503" s="88" t="s">
        <v>55</v>
      </c>
      <c r="AJ2503" s="93">
        <f t="shared" si="554"/>
        <v>0</v>
      </c>
      <c r="AK2503" s="93">
        <f t="shared" si="555"/>
        <v>0</v>
      </c>
      <c r="AL2503" s="93">
        <f t="shared" si="556"/>
        <v>0</v>
      </c>
      <c r="AN2503" s="93">
        <v>21</v>
      </c>
      <c r="AO2503" s="93">
        <f t="shared" si="557"/>
        <v>0</v>
      </c>
      <c r="AP2503" s="93">
        <f t="shared" si="558"/>
        <v>0</v>
      </c>
      <c r="AQ2503" s="94" t="s">
        <v>148</v>
      </c>
      <c r="AV2503" s="93">
        <f t="shared" si="559"/>
        <v>0</v>
      </c>
      <c r="AW2503" s="93">
        <f t="shared" si="560"/>
        <v>0</v>
      </c>
      <c r="AX2503" s="93">
        <f t="shared" si="561"/>
        <v>0</v>
      </c>
      <c r="AY2503" s="94" t="s">
        <v>3131</v>
      </c>
      <c r="AZ2503" s="94" t="s">
        <v>2927</v>
      </c>
      <c r="BA2503" s="88" t="s">
        <v>67</v>
      </c>
      <c r="BC2503" s="93">
        <f t="shared" si="562"/>
        <v>0</v>
      </c>
      <c r="BD2503" s="93">
        <f t="shared" si="563"/>
        <v>0</v>
      </c>
      <c r="BE2503" s="93">
        <v>0</v>
      </c>
      <c r="BF2503" s="93">
        <f t="shared" si="564"/>
        <v>9.1000000000000004E-3</v>
      </c>
      <c r="BH2503" s="93">
        <f t="shared" si="565"/>
        <v>0</v>
      </c>
      <c r="BI2503" s="93">
        <f t="shared" si="566"/>
        <v>0</v>
      </c>
      <c r="BJ2503" s="93">
        <f t="shared" si="567"/>
        <v>0</v>
      </c>
      <c r="BK2503" s="93"/>
      <c r="BL2503" s="93"/>
      <c r="BW2503" s="93" t="str">
        <f t="shared" si="568"/>
        <v>21</v>
      </c>
      <c r="BX2503" s="2" t="s">
        <v>3420</v>
      </c>
    </row>
    <row r="2504" spans="1:76" s="81" customFormat="1" ht="25.5" x14ac:dyDescent="0.25">
      <c r="A2504" s="66" t="s">
        <v>3430</v>
      </c>
      <c r="B2504" s="72" t="s">
        <v>55</v>
      </c>
      <c r="C2504" s="72" t="s">
        <v>3422</v>
      </c>
      <c r="D2504" s="174" t="s">
        <v>3423</v>
      </c>
      <c r="E2504" s="174"/>
      <c r="F2504" s="72" t="s">
        <v>213</v>
      </c>
      <c r="G2504" s="90">
        <v>34</v>
      </c>
      <c r="H2504" s="91"/>
      <c r="I2504" s="92" t="s">
        <v>63</v>
      </c>
      <c r="J2504" s="90">
        <f t="shared" si="541"/>
        <v>0</v>
      </c>
      <c r="K2504" s="90">
        <f t="shared" si="542"/>
        <v>0</v>
      </c>
      <c r="L2504" s="90">
        <f t="shared" si="543"/>
        <v>0</v>
      </c>
      <c r="M2504" s="90">
        <f t="shared" si="544"/>
        <v>0</v>
      </c>
      <c r="N2504" s="90">
        <v>3.6999999999999999E-4</v>
      </c>
      <c r="O2504" s="90">
        <f t="shared" si="545"/>
        <v>1.2579999999999999E-2</v>
      </c>
      <c r="P2504" s="92" t="s">
        <v>64</v>
      </c>
      <c r="Z2504" s="93">
        <f t="shared" si="546"/>
        <v>0</v>
      </c>
      <c r="AB2504" s="93">
        <f t="shared" si="547"/>
        <v>0</v>
      </c>
      <c r="AC2504" s="93">
        <f t="shared" si="548"/>
        <v>0</v>
      </c>
      <c r="AD2504" s="93">
        <f t="shared" si="549"/>
        <v>0</v>
      </c>
      <c r="AE2504" s="93">
        <f t="shared" si="550"/>
        <v>0</v>
      </c>
      <c r="AF2504" s="93">
        <f t="shared" si="551"/>
        <v>0</v>
      </c>
      <c r="AG2504" s="93">
        <f t="shared" si="552"/>
        <v>0</v>
      </c>
      <c r="AH2504" s="93">
        <f t="shared" si="553"/>
        <v>0</v>
      </c>
      <c r="AI2504" s="88" t="s">
        <v>55</v>
      </c>
      <c r="AJ2504" s="93">
        <f t="shared" si="554"/>
        <v>0</v>
      </c>
      <c r="AK2504" s="93">
        <f t="shared" si="555"/>
        <v>0</v>
      </c>
      <c r="AL2504" s="93">
        <f t="shared" si="556"/>
        <v>0</v>
      </c>
      <c r="AN2504" s="93">
        <v>21</v>
      </c>
      <c r="AO2504" s="93">
        <f t="shared" si="557"/>
        <v>0</v>
      </c>
      <c r="AP2504" s="93">
        <f t="shared" si="558"/>
        <v>0</v>
      </c>
      <c r="AQ2504" s="94" t="s">
        <v>148</v>
      </c>
      <c r="AV2504" s="93">
        <f t="shared" si="559"/>
        <v>0</v>
      </c>
      <c r="AW2504" s="93">
        <f t="shared" si="560"/>
        <v>0</v>
      </c>
      <c r="AX2504" s="93">
        <f t="shared" si="561"/>
        <v>0</v>
      </c>
      <c r="AY2504" s="94" t="s">
        <v>3131</v>
      </c>
      <c r="AZ2504" s="94" t="s">
        <v>2927</v>
      </c>
      <c r="BA2504" s="88" t="s">
        <v>67</v>
      </c>
      <c r="BC2504" s="93">
        <f t="shared" si="562"/>
        <v>0</v>
      </c>
      <c r="BD2504" s="93">
        <f t="shared" si="563"/>
        <v>0</v>
      </c>
      <c r="BE2504" s="93">
        <v>0</v>
      </c>
      <c r="BF2504" s="93">
        <f t="shared" si="564"/>
        <v>1.2579999999999999E-2</v>
      </c>
      <c r="BH2504" s="93">
        <f t="shared" si="565"/>
        <v>0</v>
      </c>
      <c r="BI2504" s="93">
        <f t="shared" si="566"/>
        <v>0</v>
      </c>
      <c r="BJ2504" s="93">
        <f t="shared" si="567"/>
        <v>0</v>
      </c>
      <c r="BK2504" s="93"/>
      <c r="BL2504" s="93"/>
      <c r="BW2504" s="93" t="str">
        <f t="shared" si="568"/>
        <v>21</v>
      </c>
      <c r="BX2504" s="2" t="s">
        <v>3423</v>
      </c>
    </row>
    <row r="2505" spans="1:76" s="81" customFormat="1" ht="25.5" x14ac:dyDescent="0.25">
      <c r="A2505" s="66" t="s">
        <v>3433</v>
      </c>
      <c r="B2505" s="72" t="s">
        <v>55</v>
      </c>
      <c r="C2505" s="72" t="s">
        <v>3425</v>
      </c>
      <c r="D2505" s="174" t="s">
        <v>3426</v>
      </c>
      <c r="E2505" s="174"/>
      <c r="F2505" s="72" t="s">
        <v>213</v>
      </c>
      <c r="G2505" s="90">
        <v>58</v>
      </c>
      <c r="H2505" s="91"/>
      <c r="I2505" s="92" t="s">
        <v>63</v>
      </c>
      <c r="J2505" s="90">
        <f t="shared" si="541"/>
        <v>0</v>
      </c>
      <c r="K2505" s="90">
        <f t="shared" si="542"/>
        <v>0</v>
      </c>
      <c r="L2505" s="90">
        <f t="shared" si="543"/>
        <v>0</v>
      </c>
      <c r="M2505" s="90">
        <f t="shared" si="544"/>
        <v>0</v>
      </c>
      <c r="N2505" s="90">
        <v>3.4000000000000002E-4</v>
      </c>
      <c r="O2505" s="90">
        <f t="shared" si="545"/>
        <v>1.9720000000000001E-2</v>
      </c>
      <c r="P2505" s="92" t="s">
        <v>64</v>
      </c>
      <c r="Z2505" s="93">
        <f t="shared" si="546"/>
        <v>0</v>
      </c>
      <c r="AB2505" s="93">
        <f t="shared" si="547"/>
        <v>0</v>
      </c>
      <c r="AC2505" s="93">
        <f t="shared" si="548"/>
        <v>0</v>
      </c>
      <c r="AD2505" s="93">
        <f t="shared" si="549"/>
        <v>0</v>
      </c>
      <c r="AE2505" s="93">
        <f t="shared" si="550"/>
        <v>0</v>
      </c>
      <c r="AF2505" s="93">
        <f t="shared" si="551"/>
        <v>0</v>
      </c>
      <c r="AG2505" s="93">
        <f t="shared" si="552"/>
        <v>0</v>
      </c>
      <c r="AH2505" s="93">
        <f t="shared" si="553"/>
        <v>0</v>
      </c>
      <c r="AI2505" s="88" t="s">
        <v>55</v>
      </c>
      <c r="AJ2505" s="93">
        <f t="shared" si="554"/>
        <v>0</v>
      </c>
      <c r="AK2505" s="93">
        <f t="shared" si="555"/>
        <v>0</v>
      </c>
      <c r="AL2505" s="93">
        <f t="shared" si="556"/>
        <v>0</v>
      </c>
      <c r="AN2505" s="93">
        <v>21</v>
      </c>
      <c r="AO2505" s="93">
        <f t="shared" si="557"/>
        <v>0</v>
      </c>
      <c r="AP2505" s="93">
        <f t="shared" si="558"/>
        <v>0</v>
      </c>
      <c r="AQ2505" s="94" t="s">
        <v>148</v>
      </c>
      <c r="AV2505" s="93">
        <f t="shared" si="559"/>
        <v>0</v>
      </c>
      <c r="AW2505" s="93">
        <f t="shared" si="560"/>
        <v>0</v>
      </c>
      <c r="AX2505" s="93">
        <f t="shared" si="561"/>
        <v>0</v>
      </c>
      <c r="AY2505" s="94" t="s">
        <v>3131</v>
      </c>
      <c r="AZ2505" s="94" t="s">
        <v>2927</v>
      </c>
      <c r="BA2505" s="88" t="s">
        <v>67</v>
      </c>
      <c r="BC2505" s="93">
        <f t="shared" si="562"/>
        <v>0</v>
      </c>
      <c r="BD2505" s="93">
        <f t="shared" si="563"/>
        <v>0</v>
      </c>
      <c r="BE2505" s="93">
        <v>0</v>
      </c>
      <c r="BF2505" s="93">
        <f t="shared" si="564"/>
        <v>1.9720000000000001E-2</v>
      </c>
      <c r="BH2505" s="93">
        <f t="shared" si="565"/>
        <v>0</v>
      </c>
      <c r="BI2505" s="93">
        <f t="shared" si="566"/>
        <v>0</v>
      </c>
      <c r="BJ2505" s="93">
        <f t="shared" si="567"/>
        <v>0</v>
      </c>
      <c r="BK2505" s="93"/>
      <c r="BL2505" s="93"/>
      <c r="BW2505" s="93" t="str">
        <f t="shared" si="568"/>
        <v>21</v>
      </c>
      <c r="BX2505" s="2" t="s">
        <v>3426</v>
      </c>
    </row>
    <row r="2506" spans="1:76" s="81" customFormat="1" ht="25.5" x14ac:dyDescent="0.25">
      <c r="A2506" s="66" t="s">
        <v>3436</v>
      </c>
      <c r="B2506" s="72" t="s">
        <v>55</v>
      </c>
      <c r="C2506" s="72" t="s">
        <v>3428</v>
      </c>
      <c r="D2506" s="174" t="s">
        <v>3429</v>
      </c>
      <c r="E2506" s="174"/>
      <c r="F2506" s="72" t="s">
        <v>213</v>
      </c>
      <c r="G2506" s="90">
        <v>93</v>
      </c>
      <c r="H2506" s="91"/>
      <c r="I2506" s="92" t="s">
        <v>63</v>
      </c>
      <c r="J2506" s="90">
        <f t="shared" si="541"/>
        <v>0</v>
      </c>
      <c r="K2506" s="90">
        <f t="shared" si="542"/>
        <v>0</v>
      </c>
      <c r="L2506" s="90">
        <f t="shared" si="543"/>
        <v>0</v>
      </c>
      <c r="M2506" s="90">
        <f t="shared" si="544"/>
        <v>0</v>
      </c>
      <c r="N2506" s="90">
        <v>1.4999999999999999E-4</v>
      </c>
      <c r="O2506" s="90">
        <f t="shared" si="545"/>
        <v>1.3949999999999999E-2</v>
      </c>
      <c r="P2506" s="92" t="s">
        <v>64</v>
      </c>
      <c r="Z2506" s="93">
        <f t="shared" si="546"/>
        <v>0</v>
      </c>
      <c r="AB2506" s="93">
        <f t="shared" si="547"/>
        <v>0</v>
      </c>
      <c r="AC2506" s="93">
        <f t="shared" si="548"/>
        <v>0</v>
      </c>
      <c r="AD2506" s="93">
        <f t="shared" si="549"/>
        <v>0</v>
      </c>
      <c r="AE2506" s="93">
        <f t="shared" si="550"/>
        <v>0</v>
      </c>
      <c r="AF2506" s="93">
        <f t="shared" si="551"/>
        <v>0</v>
      </c>
      <c r="AG2506" s="93">
        <f t="shared" si="552"/>
        <v>0</v>
      </c>
      <c r="AH2506" s="93">
        <f t="shared" si="553"/>
        <v>0</v>
      </c>
      <c r="AI2506" s="88" t="s">
        <v>55</v>
      </c>
      <c r="AJ2506" s="93">
        <f t="shared" si="554"/>
        <v>0</v>
      </c>
      <c r="AK2506" s="93">
        <f t="shared" si="555"/>
        <v>0</v>
      </c>
      <c r="AL2506" s="93">
        <f t="shared" si="556"/>
        <v>0</v>
      </c>
      <c r="AN2506" s="93">
        <v>21</v>
      </c>
      <c r="AO2506" s="93">
        <f t="shared" si="557"/>
        <v>0</v>
      </c>
      <c r="AP2506" s="93">
        <f t="shared" si="558"/>
        <v>0</v>
      </c>
      <c r="AQ2506" s="94" t="s">
        <v>148</v>
      </c>
      <c r="AV2506" s="93">
        <f t="shared" si="559"/>
        <v>0</v>
      </c>
      <c r="AW2506" s="93">
        <f t="shared" si="560"/>
        <v>0</v>
      </c>
      <c r="AX2506" s="93">
        <f t="shared" si="561"/>
        <v>0</v>
      </c>
      <c r="AY2506" s="94" t="s">
        <v>3131</v>
      </c>
      <c r="AZ2506" s="94" t="s">
        <v>2927</v>
      </c>
      <c r="BA2506" s="88" t="s">
        <v>67</v>
      </c>
      <c r="BC2506" s="93">
        <f t="shared" si="562"/>
        <v>0</v>
      </c>
      <c r="BD2506" s="93">
        <f t="shared" si="563"/>
        <v>0</v>
      </c>
      <c r="BE2506" s="93">
        <v>0</v>
      </c>
      <c r="BF2506" s="93">
        <f t="shared" si="564"/>
        <v>1.3949999999999999E-2</v>
      </c>
      <c r="BH2506" s="93">
        <f t="shared" si="565"/>
        <v>0</v>
      </c>
      <c r="BI2506" s="93">
        <f t="shared" si="566"/>
        <v>0</v>
      </c>
      <c r="BJ2506" s="93">
        <f t="shared" si="567"/>
        <v>0</v>
      </c>
      <c r="BK2506" s="93"/>
      <c r="BL2506" s="93"/>
      <c r="BW2506" s="93" t="str">
        <f t="shared" si="568"/>
        <v>21</v>
      </c>
      <c r="BX2506" s="2" t="s">
        <v>3429</v>
      </c>
    </row>
    <row r="2507" spans="1:76" s="81" customFormat="1" ht="25.5" x14ac:dyDescent="0.25">
      <c r="A2507" s="66" t="s">
        <v>3440</v>
      </c>
      <c r="B2507" s="72" t="s">
        <v>55</v>
      </c>
      <c r="C2507" s="72" t="s">
        <v>3431</v>
      </c>
      <c r="D2507" s="174" t="s">
        <v>3432</v>
      </c>
      <c r="E2507" s="174"/>
      <c r="F2507" s="72" t="s">
        <v>1332</v>
      </c>
      <c r="G2507" s="90">
        <v>17</v>
      </c>
      <c r="H2507" s="91"/>
      <c r="I2507" s="92" t="s">
        <v>63</v>
      </c>
      <c r="J2507" s="90">
        <f t="shared" si="541"/>
        <v>0</v>
      </c>
      <c r="K2507" s="90">
        <f t="shared" si="542"/>
        <v>0</v>
      </c>
      <c r="L2507" s="90">
        <f t="shared" si="543"/>
        <v>0</v>
      </c>
      <c r="M2507" s="90">
        <f t="shared" si="544"/>
        <v>0</v>
      </c>
      <c r="N2507" s="90">
        <v>1.521E-2</v>
      </c>
      <c r="O2507" s="90">
        <f t="shared" si="545"/>
        <v>0.25856999999999997</v>
      </c>
      <c r="P2507" s="92" t="s">
        <v>64</v>
      </c>
      <c r="Z2507" s="93">
        <f t="shared" si="546"/>
        <v>0</v>
      </c>
      <c r="AB2507" s="93">
        <f t="shared" si="547"/>
        <v>0</v>
      </c>
      <c r="AC2507" s="93">
        <f t="shared" si="548"/>
        <v>0</v>
      </c>
      <c r="AD2507" s="93">
        <f t="shared" si="549"/>
        <v>0</v>
      </c>
      <c r="AE2507" s="93">
        <f t="shared" si="550"/>
        <v>0</v>
      </c>
      <c r="AF2507" s="93">
        <f t="shared" si="551"/>
        <v>0</v>
      </c>
      <c r="AG2507" s="93">
        <f t="shared" si="552"/>
        <v>0</v>
      </c>
      <c r="AH2507" s="93">
        <f t="shared" si="553"/>
        <v>0</v>
      </c>
      <c r="AI2507" s="88" t="s">
        <v>55</v>
      </c>
      <c r="AJ2507" s="93">
        <f t="shared" si="554"/>
        <v>0</v>
      </c>
      <c r="AK2507" s="93">
        <f t="shared" si="555"/>
        <v>0</v>
      </c>
      <c r="AL2507" s="93">
        <f t="shared" si="556"/>
        <v>0</v>
      </c>
      <c r="AN2507" s="93">
        <v>21</v>
      </c>
      <c r="AO2507" s="93">
        <f>H2507*0.805291275</f>
        <v>0</v>
      </c>
      <c r="AP2507" s="93">
        <f>H2507*(1-0.805291275)</f>
        <v>0</v>
      </c>
      <c r="AQ2507" s="94" t="s">
        <v>148</v>
      </c>
      <c r="AV2507" s="93">
        <f t="shared" si="559"/>
        <v>0</v>
      </c>
      <c r="AW2507" s="93">
        <f t="shared" si="560"/>
        <v>0</v>
      </c>
      <c r="AX2507" s="93">
        <f t="shared" si="561"/>
        <v>0</v>
      </c>
      <c r="AY2507" s="94" t="s">
        <v>3131</v>
      </c>
      <c r="AZ2507" s="94" t="s">
        <v>2927</v>
      </c>
      <c r="BA2507" s="88" t="s">
        <v>67</v>
      </c>
      <c r="BC2507" s="93">
        <f t="shared" si="562"/>
        <v>0</v>
      </c>
      <c r="BD2507" s="93">
        <f t="shared" si="563"/>
        <v>0</v>
      </c>
      <c r="BE2507" s="93">
        <v>0</v>
      </c>
      <c r="BF2507" s="93">
        <f t="shared" si="564"/>
        <v>0.25856999999999997</v>
      </c>
      <c r="BH2507" s="93">
        <f t="shared" si="565"/>
        <v>0</v>
      </c>
      <c r="BI2507" s="93">
        <f t="shared" si="566"/>
        <v>0</v>
      </c>
      <c r="BJ2507" s="93">
        <f t="shared" si="567"/>
        <v>0</v>
      </c>
      <c r="BK2507" s="93"/>
      <c r="BL2507" s="93"/>
      <c r="BW2507" s="93" t="str">
        <f t="shared" si="568"/>
        <v>21</v>
      </c>
      <c r="BX2507" s="2" t="s">
        <v>3432</v>
      </c>
    </row>
    <row r="2508" spans="1:76" s="81" customFormat="1" ht="25.5" x14ac:dyDescent="0.25">
      <c r="A2508" s="66" t="s">
        <v>3443</v>
      </c>
      <c r="B2508" s="72" t="s">
        <v>55</v>
      </c>
      <c r="C2508" s="72" t="s">
        <v>3434</v>
      </c>
      <c r="D2508" s="174" t="s">
        <v>3435</v>
      </c>
      <c r="E2508" s="174"/>
      <c r="F2508" s="72" t="s">
        <v>1332</v>
      </c>
      <c r="G2508" s="90">
        <v>7</v>
      </c>
      <c r="H2508" s="91"/>
      <c r="I2508" s="92" t="s">
        <v>63</v>
      </c>
      <c r="J2508" s="90">
        <f t="shared" si="541"/>
        <v>0</v>
      </c>
      <c r="K2508" s="90">
        <f t="shared" si="542"/>
        <v>0</v>
      </c>
      <c r="L2508" s="90">
        <f t="shared" si="543"/>
        <v>0</v>
      </c>
      <c r="M2508" s="90">
        <f t="shared" si="544"/>
        <v>0</v>
      </c>
      <c r="N2508" s="90">
        <v>1.1199999999999999E-3</v>
      </c>
      <c r="O2508" s="90">
        <f t="shared" si="545"/>
        <v>7.8399999999999997E-3</v>
      </c>
      <c r="P2508" s="92" t="s">
        <v>371</v>
      </c>
      <c r="Z2508" s="93">
        <f t="shared" si="546"/>
        <v>0</v>
      </c>
      <c r="AB2508" s="93">
        <f t="shared" si="547"/>
        <v>0</v>
      </c>
      <c r="AC2508" s="93">
        <f t="shared" si="548"/>
        <v>0</v>
      </c>
      <c r="AD2508" s="93">
        <f t="shared" si="549"/>
        <v>0</v>
      </c>
      <c r="AE2508" s="93">
        <f t="shared" si="550"/>
        <v>0</v>
      </c>
      <c r="AF2508" s="93">
        <f t="shared" si="551"/>
        <v>0</v>
      </c>
      <c r="AG2508" s="93">
        <f t="shared" si="552"/>
        <v>0</v>
      </c>
      <c r="AH2508" s="93">
        <f t="shared" si="553"/>
        <v>0</v>
      </c>
      <c r="AI2508" s="88" t="s">
        <v>55</v>
      </c>
      <c r="AJ2508" s="93">
        <f t="shared" si="554"/>
        <v>0</v>
      </c>
      <c r="AK2508" s="93">
        <f t="shared" si="555"/>
        <v>0</v>
      </c>
      <c r="AL2508" s="93">
        <f t="shared" si="556"/>
        <v>0</v>
      </c>
      <c r="AN2508" s="93">
        <v>21</v>
      </c>
      <c r="AO2508" s="93">
        <f>H2508*0.935152941</f>
        <v>0</v>
      </c>
      <c r="AP2508" s="93">
        <f>H2508*(1-0.935152941)</f>
        <v>0</v>
      </c>
      <c r="AQ2508" s="94" t="s">
        <v>148</v>
      </c>
      <c r="AV2508" s="93">
        <f t="shared" si="559"/>
        <v>0</v>
      </c>
      <c r="AW2508" s="93">
        <f t="shared" si="560"/>
        <v>0</v>
      </c>
      <c r="AX2508" s="93">
        <f t="shared" si="561"/>
        <v>0</v>
      </c>
      <c r="AY2508" s="94" t="s">
        <v>3131</v>
      </c>
      <c r="AZ2508" s="94" t="s">
        <v>2927</v>
      </c>
      <c r="BA2508" s="88" t="s">
        <v>67</v>
      </c>
      <c r="BC2508" s="93">
        <f t="shared" si="562"/>
        <v>0</v>
      </c>
      <c r="BD2508" s="93">
        <f t="shared" si="563"/>
        <v>0</v>
      </c>
      <c r="BE2508" s="93">
        <v>0</v>
      </c>
      <c r="BF2508" s="93">
        <f t="shared" si="564"/>
        <v>7.8399999999999997E-3</v>
      </c>
      <c r="BH2508" s="93">
        <f t="shared" si="565"/>
        <v>0</v>
      </c>
      <c r="BI2508" s="93">
        <f t="shared" si="566"/>
        <v>0</v>
      </c>
      <c r="BJ2508" s="93">
        <f t="shared" si="567"/>
        <v>0</v>
      </c>
      <c r="BK2508" s="93"/>
      <c r="BL2508" s="93"/>
      <c r="BW2508" s="93" t="str">
        <f t="shared" si="568"/>
        <v>21</v>
      </c>
      <c r="BX2508" s="2" t="s">
        <v>3435</v>
      </c>
    </row>
    <row r="2509" spans="1:76" s="81" customFormat="1" ht="25.5" x14ac:dyDescent="0.25">
      <c r="A2509" s="66" t="s">
        <v>3447</v>
      </c>
      <c r="B2509" s="72" t="s">
        <v>55</v>
      </c>
      <c r="C2509" s="72" t="s">
        <v>3437</v>
      </c>
      <c r="D2509" s="174" t="s">
        <v>3438</v>
      </c>
      <c r="E2509" s="174"/>
      <c r="F2509" s="72" t="s">
        <v>203</v>
      </c>
      <c r="G2509" s="90">
        <v>3</v>
      </c>
      <c r="H2509" s="91"/>
      <c r="I2509" s="92" t="s">
        <v>63</v>
      </c>
      <c r="J2509" s="90">
        <f t="shared" si="541"/>
        <v>0</v>
      </c>
      <c r="K2509" s="90">
        <f t="shared" si="542"/>
        <v>0</v>
      </c>
      <c r="L2509" s="90">
        <f t="shared" si="543"/>
        <v>0</v>
      </c>
      <c r="M2509" s="90">
        <f t="shared" si="544"/>
        <v>0</v>
      </c>
      <c r="N2509" s="90">
        <v>2.0000000000000001E-4</v>
      </c>
      <c r="O2509" s="90">
        <f t="shared" si="545"/>
        <v>6.0000000000000006E-4</v>
      </c>
      <c r="P2509" s="92" t="s">
        <v>3439</v>
      </c>
      <c r="Z2509" s="93">
        <f t="shared" si="546"/>
        <v>0</v>
      </c>
      <c r="AB2509" s="93">
        <f t="shared" si="547"/>
        <v>0</v>
      </c>
      <c r="AC2509" s="93">
        <f t="shared" si="548"/>
        <v>0</v>
      </c>
      <c r="AD2509" s="93">
        <f t="shared" si="549"/>
        <v>0</v>
      </c>
      <c r="AE2509" s="93">
        <f t="shared" si="550"/>
        <v>0</v>
      </c>
      <c r="AF2509" s="93">
        <f t="shared" si="551"/>
        <v>0</v>
      </c>
      <c r="AG2509" s="93">
        <f t="shared" si="552"/>
        <v>0</v>
      </c>
      <c r="AH2509" s="93">
        <f t="shared" si="553"/>
        <v>0</v>
      </c>
      <c r="AI2509" s="88" t="s">
        <v>55</v>
      </c>
      <c r="AJ2509" s="93">
        <f t="shared" si="554"/>
        <v>0</v>
      </c>
      <c r="AK2509" s="93">
        <f t="shared" si="555"/>
        <v>0</v>
      </c>
      <c r="AL2509" s="93">
        <f t="shared" si="556"/>
        <v>0</v>
      </c>
      <c r="AN2509" s="93">
        <v>21</v>
      </c>
      <c r="AO2509" s="93">
        <f>H2509*0.917095766</f>
        <v>0</v>
      </c>
      <c r="AP2509" s="93">
        <f>H2509*(1-0.917095766)</f>
        <v>0</v>
      </c>
      <c r="AQ2509" s="94" t="s">
        <v>148</v>
      </c>
      <c r="AV2509" s="93">
        <f t="shared" si="559"/>
        <v>0</v>
      </c>
      <c r="AW2509" s="93">
        <f t="shared" si="560"/>
        <v>0</v>
      </c>
      <c r="AX2509" s="93">
        <f t="shared" si="561"/>
        <v>0</v>
      </c>
      <c r="AY2509" s="94" t="s">
        <v>3131</v>
      </c>
      <c r="AZ2509" s="94" t="s">
        <v>2927</v>
      </c>
      <c r="BA2509" s="88" t="s">
        <v>67</v>
      </c>
      <c r="BC2509" s="93">
        <f t="shared" si="562"/>
        <v>0</v>
      </c>
      <c r="BD2509" s="93">
        <f t="shared" si="563"/>
        <v>0</v>
      </c>
      <c r="BE2509" s="93">
        <v>0</v>
      </c>
      <c r="BF2509" s="93">
        <f t="shared" si="564"/>
        <v>6.0000000000000006E-4</v>
      </c>
      <c r="BH2509" s="93">
        <f t="shared" si="565"/>
        <v>0</v>
      </c>
      <c r="BI2509" s="93">
        <f t="shared" si="566"/>
        <v>0</v>
      </c>
      <c r="BJ2509" s="93">
        <f t="shared" si="567"/>
        <v>0</v>
      </c>
      <c r="BK2509" s="93"/>
      <c r="BL2509" s="93"/>
      <c r="BW2509" s="93" t="str">
        <f t="shared" si="568"/>
        <v>21</v>
      </c>
      <c r="BX2509" s="2" t="s">
        <v>3438</v>
      </c>
    </row>
    <row r="2510" spans="1:76" s="81" customFormat="1" ht="25.5" x14ac:dyDescent="0.25">
      <c r="A2510" s="66" t="s">
        <v>1909</v>
      </c>
      <c r="B2510" s="72" t="s">
        <v>55</v>
      </c>
      <c r="C2510" s="72" t="s">
        <v>3441</v>
      </c>
      <c r="D2510" s="174" t="s">
        <v>3442</v>
      </c>
      <c r="E2510" s="174"/>
      <c r="F2510" s="72" t="s">
        <v>203</v>
      </c>
      <c r="G2510" s="90">
        <v>7</v>
      </c>
      <c r="H2510" s="91"/>
      <c r="I2510" s="92" t="s">
        <v>63</v>
      </c>
      <c r="J2510" s="90">
        <f t="shared" si="541"/>
        <v>0</v>
      </c>
      <c r="K2510" s="90">
        <f t="shared" si="542"/>
        <v>0</v>
      </c>
      <c r="L2510" s="90">
        <f t="shared" si="543"/>
        <v>0</v>
      </c>
      <c r="M2510" s="90">
        <f t="shared" si="544"/>
        <v>0</v>
      </c>
      <c r="N2510" s="90">
        <v>0</v>
      </c>
      <c r="O2510" s="90">
        <f t="shared" si="545"/>
        <v>0</v>
      </c>
      <c r="P2510" s="92" t="s">
        <v>371</v>
      </c>
      <c r="Z2510" s="93">
        <f t="shared" si="546"/>
        <v>0</v>
      </c>
      <c r="AB2510" s="93">
        <f t="shared" si="547"/>
        <v>0</v>
      </c>
      <c r="AC2510" s="93">
        <f t="shared" si="548"/>
        <v>0</v>
      </c>
      <c r="AD2510" s="93">
        <f t="shared" si="549"/>
        <v>0</v>
      </c>
      <c r="AE2510" s="93">
        <f t="shared" si="550"/>
        <v>0</v>
      </c>
      <c r="AF2510" s="93">
        <f t="shared" si="551"/>
        <v>0</v>
      </c>
      <c r="AG2510" s="93">
        <f t="shared" si="552"/>
        <v>0</v>
      </c>
      <c r="AH2510" s="93">
        <f t="shared" si="553"/>
        <v>0</v>
      </c>
      <c r="AI2510" s="88" t="s">
        <v>55</v>
      </c>
      <c r="AJ2510" s="93">
        <f t="shared" si="554"/>
        <v>0</v>
      </c>
      <c r="AK2510" s="93">
        <f t="shared" si="555"/>
        <v>0</v>
      </c>
      <c r="AL2510" s="93">
        <f t="shared" si="556"/>
        <v>0</v>
      </c>
      <c r="AN2510" s="93">
        <v>21</v>
      </c>
      <c r="AO2510" s="93">
        <f>H2510*0.872219799</f>
        <v>0</v>
      </c>
      <c r="AP2510" s="93">
        <f>H2510*(1-0.872219799)</f>
        <v>0</v>
      </c>
      <c r="AQ2510" s="94" t="s">
        <v>148</v>
      </c>
      <c r="AV2510" s="93">
        <f t="shared" si="559"/>
        <v>0</v>
      </c>
      <c r="AW2510" s="93">
        <f t="shared" si="560"/>
        <v>0</v>
      </c>
      <c r="AX2510" s="93">
        <f t="shared" si="561"/>
        <v>0</v>
      </c>
      <c r="AY2510" s="94" t="s">
        <v>3131</v>
      </c>
      <c r="AZ2510" s="94" t="s">
        <v>2927</v>
      </c>
      <c r="BA2510" s="88" t="s">
        <v>67</v>
      </c>
      <c r="BC2510" s="93">
        <f t="shared" si="562"/>
        <v>0</v>
      </c>
      <c r="BD2510" s="93">
        <f t="shared" si="563"/>
        <v>0</v>
      </c>
      <c r="BE2510" s="93">
        <v>0</v>
      </c>
      <c r="BF2510" s="93">
        <f t="shared" si="564"/>
        <v>0</v>
      </c>
      <c r="BH2510" s="93">
        <f t="shared" si="565"/>
        <v>0</v>
      </c>
      <c r="BI2510" s="93">
        <f t="shared" si="566"/>
        <v>0</v>
      </c>
      <c r="BJ2510" s="93">
        <f t="shared" si="567"/>
        <v>0</v>
      </c>
      <c r="BK2510" s="93"/>
      <c r="BL2510" s="93"/>
      <c r="BW2510" s="93" t="str">
        <f t="shared" si="568"/>
        <v>21</v>
      </c>
      <c r="BX2510" s="2" t="s">
        <v>3442</v>
      </c>
    </row>
    <row r="2511" spans="1:76" s="81" customFormat="1" ht="25.5" x14ac:dyDescent="0.25">
      <c r="A2511" s="66" t="s">
        <v>1981</v>
      </c>
      <c r="B2511" s="72" t="s">
        <v>55</v>
      </c>
      <c r="C2511" s="72" t="s">
        <v>3444</v>
      </c>
      <c r="D2511" s="174" t="s">
        <v>3445</v>
      </c>
      <c r="E2511" s="174"/>
      <c r="F2511" s="72" t="s">
        <v>1332</v>
      </c>
      <c r="G2511" s="90">
        <v>45</v>
      </c>
      <c r="H2511" s="91"/>
      <c r="I2511" s="92" t="s">
        <v>63</v>
      </c>
      <c r="J2511" s="90">
        <f t="shared" si="541"/>
        <v>0</v>
      </c>
      <c r="K2511" s="90">
        <f t="shared" si="542"/>
        <v>0</v>
      </c>
      <c r="L2511" s="90">
        <f t="shared" si="543"/>
        <v>0</v>
      </c>
      <c r="M2511" s="90">
        <f t="shared" si="544"/>
        <v>0</v>
      </c>
      <c r="N2511" s="90">
        <v>2.4000000000000001E-4</v>
      </c>
      <c r="O2511" s="90">
        <f t="shared" si="545"/>
        <v>1.0800000000000001E-2</v>
      </c>
      <c r="P2511" s="92" t="s">
        <v>64</v>
      </c>
      <c r="Z2511" s="93">
        <f t="shared" si="546"/>
        <v>0</v>
      </c>
      <c r="AB2511" s="93">
        <f t="shared" si="547"/>
        <v>0</v>
      </c>
      <c r="AC2511" s="93">
        <f t="shared" si="548"/>
        <v>0</v>
      </c>
      <c r="AD2511" s="93">
        <f t="shared" si="549"/>
        <v>0</v>
      </c>
      <c r="AE2511" s="93">
        <f t="shared" si="550"/>
        <v>0</v>
      </c>
      <c r="AF2511" s="93">
        <f t="shared" si="551"/>
        <v>0</v>
      </c>
      <c r="AG2511" s="93">
        <f t="shared" si="552"/>
        <v>0</v>
      </c>
      <c r="AH2511" s="93">
        <f t="shared" si="553"/>
        <v>0</v>
      </c>
      <c r="AI2511" s="88" t="s">
        <v>55</v>
      </c>
      <c r="AJ2511" s="93">
        <f t="shared" si="554"/>
        <v>0</v>
      </c>
      <c r="AK2511" s="93">
        <f t="shared" si="555"/>
        <v>0</v>
      </c>
      <c r="AL2511" s="93">
        <f t="shared" si="556"/>
        <v>0</v>
      </c>
      <c r="AN2511" s="93">
        <v>21</v>
      </c>
      <c r="AO2511" s="93">
        <f>H2511*0.821334493</f>
        <v>0</v>
      </c>
      <c r="AP2511" s="93">
        <f>H2511*(1-0.821334493)</f>
        <v>0</v>
      </c>
      <c r="AQ2511" s="94" t="s">
        <v>148</v>
      </c>
      <c r="AV2511" s="93">
        <f t="shared" si="559"/>
        <v>0</v>
      </c>
      <c r="AW2511" s="93">
        <f t="shared" si="560"/>
        <v>0</v>
      </c>
      <c r="AX2511" s="93">
        <f t="shared" si="561"/>
        <v>0</v>
      </c>
      <c r="AY2511" s="94" t="s">
        <v>3131</v>
      </c>
      <c r="AZ2511" s="94" t="s">
        <v>2927</v>
      </c>
      <c r="BA2511" s="88" t="s">
        <v>67</v>
      </c>
      <c r="BC2511" s="93">
        <f t="shared" si="562"/>
        <v>0</v>
      </c>
      <c r="BD2511" s="93">
        <f t="shared" si="563"/>
        <v>0</v>
      </c>
      <c r="BE2511" s="93">
        <v>0</v>
      </c>
      <c r="BF2511" s="93">
        <f t="shared" si="564"/>
        <v>1.0800000000000001E-2</v>
      </c>
      <c r="BH2511" s="93">
        <f t="shared" si="565"/>
        <v>0</v>
      </c>
      <c r="BI2511" s="93">
        <f t="shared" si="566"/>
        <v>0</v>
      </c>
      <c r="BJ2511" s="93">
        <f t="shared" si="567"/>
        <v>0</v>
      </c>
      <c r="BK2511" s="93"/>
      <c r="BL2511" s="93"/>
      <c r="BW2511" s="93" t="str">
        <f t="shared" si="568"/>
        <v>21</v>
      </c>
      <c r="BX2511" s="2" t="s">
        <v>3445</v>
      </c>
    </row>
    <row r="2512" spans="1:76" s="81" customFormat="1" x14ac:dyDescent="0.25">
      <c r="A2512" s="110"/>
      <c r="B2512" s="95"/>
      <c r="C2512" s="95"/>
      <c r="D2512" s="76" t="s">
        <v>3446</v>
      </c>
      <c r="E2512" s="76" t="s">
        <v>54</v>
      </c>
      <c r="F2512" s="95"/>
      <c r="G2512" s="96">
        <v>45</v>
      </c>
      <c r="H2512" s="95"/>
      <c r="I2512" s="95"/>
      <c r="J2512" s="95"/>
      <c r="K2512" s="95"/>
      <c r="L2512" s="95"/>
      <c r="M2512" s="95"/>
      <c r="N2512" s="95"/>
      <c r="O2512" s="95"/>
      <c r="P2512" s="95"/>
    </row>
    <row r="2513" spans="1:76" s="81" customFormat="1" ht="25.5" x14ac:dyDescent="0.25">
      <c r="A2513" s="66" t="s">
        <v>2044</v>
      </c>
      <c r="B2513" s="72" t="s">
        <v>55</v>
      </c>
      <c r="C2513" s="72" t="s">
        <v>3448</v>
      </c>
      <c r="D2513" s="174" t="s">
        <v>3449</v>
      </c>
      <c r="E2513" s="174"/>
      <c r="F2513" s="72" t="s">
        <v>203</v>
      </c>
      <c r="G2513" s="90">
        <v>17</v>
      </c>
      <c r="H2513" s="91"/>
      <c r="I2513" s="92" t="s">
        <v>63</v>
      </c>
      <c r="J2513" s="90">
        <f>G2513*AO2513</f>
        <v>0</v>
      </c>
      <c r="K2513" s="90">
        <f>G2513*AP2513</f>
        <v>0</v>
      </c>
      <c r="L2513" s="90">
        <f>G2513*H2513</f>
        <v>0</v>
      </c>
      <c r="M2513" s="90">
        <f>L2513*(1+BW2513/100)</f>
        <v>0</v>
      </c>
      <c r="N2513" s="90">
        <v>1.6999999999999999E-3</v>
      </c>
      <c r="O2513" s="90">
        <f>G2513*N2513</f>
        <v>2.8899999999999999E-2</v>
      </c>
      <c r="P2513" s="92" t="s">
        <v>64</v>
      </c>
      <c r="Z2513" s="93">
        <f>IF(AQ2513="5",BJ2513,0)</f>
        <v>0</v>
      </c>
      <c r="AB2513" s="93">
        <f>IF(AQ2513="1",BH2513,0)</f>
        <v>0</v>
      </c>
      <c r="AC2513" s="93">
        <f>IF(AQ2513="1",BI2513,0)</f>
        <v>0</v>
      </c>
      <c r="AD2513" s="93">
        <f>IF(AQ2513="7",BH2513,0)</f>
        <v>0</v>
      </c>
      <c r="AE2513" s="93">
        <f>IF(AQ2513="7",BI2513,0)</f>
        <v>0</v>
      </c>
      <c r="AF2513" s="93">
        <f>IF(AQ2513="2",BH2513,0)</f>
        <v>0</v>
      </c>
      <c r="AG2513" s="93">
        <f>IF(AQ2513="2",BI2513,0)</f>
        <v>0</v>
      </c>
      <c r="AH2513" s="93">
        <f>IF(AQ2513="0",BJ2513,0)</f>
        <v>0</v>
      </c>
      <c r="AI2513" s="88" t="s">
        <v>55</v>
      </c>
      <c r="AJ2513" s="93">
        <f>IF(AN2513=0,L2513,0)</f>
        <v>0</v>
      </c>
      <c r="AK2513" s="93">
        <f>IF(AN2513=12,L2513,0)</f>
        <v>0</v>
      </c>
      <c r="AL2513" s="93">
        <f>IF(AN2513=21,L2513,0)</f>
        <v>0</v>
      </c>
      <c r="AN2513" s="93">
        <v>21</v>
      </c>
      <c r="AO2513" s="93">
        <f>H2513*0.91951499</f>
        <v>0</v>
      </c>
      <c r="AP2513" s="93">
        <f>H2513*(1-0.91951499)</f>
        <v>0</v>
      </c>
      <c r="AQ2513" s="94" t="s">
        <v>148</v>
      </c>
      <c r="AV2513" s="93">
        <f>AW2513+AX2513</f>
        <v>0</v>
      </c>
      <c r="AW2513" s="93">
        <f>G2513*AO2513</f>
        <v>0</v>
      </c>
      <c r="AX2513" s="93">
        <f>G2513*AP2513</f>
        <v>0</v>
      </c>
      <c r="AY2513" s="94" t="s">
        <v>3131</v>
      </c>
      <c r="AZ2513" s="94" t="s">
        <v>2927</v>
      </c>
      <c r="BA2513" s="88" t="s">
        <v>67</v>
      </c>
      <c r="BC2513" s="93">
        <f>AW2513+AX2513</f>
        <v>0</v>
      </c>
      <c r="BD2513" s="93">
        <f>H2513/(100-BE2513)*100</f>
        <v>0</v>
      </c>
      <c r="BE2513" s="93">
        <v>0</v>
      </c>
      <c r="BF2513" s="93">
        <f>O2513</f>
        <v>2.8899999999999999E-2</v>
      </c>
      <c r="BH2513" s="93">
        <f>G2513*AO2513</f>
        <v>0</v>
      </c>
      <c r="BI2513" s="93">
        <f>G2513*AP2513</f>
        <v>0</v>
      </c>
      <c r="BJ2513" s="93">
        <f>G2513*H2513</f>
        <v>0</v>
      </c>
      <c r="BK2513" s="93"/>
      <c r="BL2513" s="93"/>
      <c r="BW2513" s="93" t="str">
        <f>I2513</f>
        <v>21</v>
      </c>
      <c r="BX2513" s="2" t="s">
        <v>3449</v>
      </c>
    </row>
    <row r="2514" spans="1:76" s="81" customFormat="1" ht="25.5" x14ac:dyDescent="0.25">
      <c r="A2514" s="66" t="s">
        <v>2131</v>
      </c>
      <c r="B2514" s="72" t="s">
        <v>55</v>
      </c>
      <c r="C2514" s="72" t="s">
        <v>3450</v>
      </c>
      <c r="D2514" s="174" t="s">
        <v>3451</v>
      </c>
      <c r="E2514" s="174"/>
      <c r="F2514" s="72" t="s">
        <v>203</v>
      </c>
      <c r="G2514" s="90">
        <v>19</v>
      </c>
      <c r="H2514" s="91"/>
      <c r="I2514" s="92" t="s">
        <v>63</v>
      </c>
      <c r="J2514" s="90">
        <f>G2514*AO2514</f>
        <v>0</v>
      </c>
      <c r="K2514" s="90">
        <f>G2514*AP2514</f>
        <v>0</v>
      </c>
      <c r="L2514" s="90">
        <f>G2514*H2514</f>
        <v>0</v>
      </c>
      <c r="M2514" s="90">
        <f>L2514*(1+BW2514/100)</f>
        <v>0</v>
      </c>
      <c r="N2514" s="90">
        <v>0</v>
      </c>
      <c r="O2514" s="90">
        <f>G2514*N2514</f>
        <v>0</v>
      </c>
      <c r="P2514" s="92" t="s">
        <v>64</v>
      </c>
      <c r="Z2514" s="93">
        <f>IF(AQ2514="5",BJ2514,0)</f>
        <v>0</v>
      </c>
      <c r="AB2514" s="93">
        <f>IF(AQ2514="1",BH2514,0)</f>
        <v>0</v>
      </c>
      <c r="AC2514" s="93">
        <f>IF(AQ2514="1",BI2514,0)</f>
        <v>0</v>
      </c>
      <c r="AD2514" s="93">
        <f>IF(AQ2514="7",BH2514,0)</f>
        <v>0</v>
      </c>
      <c r="AE2514" s="93">
        <f>IF(AQ2514="7",BI2514,0)</f>
        <v>0</v>
      </c>
      <c r="AF2514" s="93">
        <f>IF(AQ2514="2",BH2514,0)</f>
        <v>0</v>
      </c>
      <c r="AG2514" s="93">
        <f>IF(AQ2514="2",BI2514,0)</f>
        <v>0</v>
      </c>
      <c r="AH2514" s="93">
        <f>IF(AQ2514="0",BJ2514,0)</f>
        <v>0</v>
      </c>
      <c r="AI2514" s="88" t="s">
        <v>55</v>
      </c>
      <c r="AJ2514" s="93">
        <f>IF(AN2514=0,L2514,0)</f>
        <v>0</v>
      </c>
      <c r="AK2514" s="93">
        <f>IF(AN2514=12,L2514,0)</f>
        <v>0</v>
      </c>
      <c r="AL2514" s="93">
        <f>IF(AN2514=21,L2514,0)</f>
        <v>0</v>
      </c>
      <c r="AN2514" s="93">
        <v>21</v>
      </c>
      <c r="AO2514" s="93">
        <f>H2514*0.870093721</f>
        <v>0</v>
      </c>
      <c r="AP2514" s="93">
        <f>H2514*(1-0.870093721)</f>
        <v>0</v>
      </c>
      <c r="AQ2514" s="94" t="s">
        <v>148</v>
      </c>
      <c r="AV2514" s="93">
        <f>AW2514+AX2514</f>
        <v>0</v>
      </c>
      <c r="AW2514" s="93">
        <f>G2514*AO2514</f>
        <v>0</v>
      </c>
      <c r="AX2514" s="93">
        <f>G2514*AP2514</f>
        <v>0</v>
      </c>
      <c r="AY2514" s="94" t="s">
        <v>3131</v>
      </c>
      <c r="AZ2514" s="94" t="s">
        <v>2927</v>
      </c>
      <c r="BA2514" s="88" t="s">
        <v>67</v>
      </c>
      <c r="BC2514" s="93">
        <f>AW2514+AX2514</f>
        <v>0</v>
      </c>
      <c r="BD2514" s="93">
        <f>H2514/(100-BE2514)*100</f>
        <v>0</v>
      </c>
      <c r="BE2514" s="93">
        <v>0</v>
      </c>
      <c r="BF2514" s="93">
        <f>O2514</f>
        <v>0</v>
      </c>
      <c r="BH2514" s="93">
        <f>G2514*AO2514</f>
        <v>0</v>
      </c>
      <c r="BI2514" s="93">
        <f>G2514*AP2514</f>
        <v>0</v>
      </c>
      <c r="BJ2514" s="93">
        <f>G2514*H2514</f>
        <v>0</v>
      </c>
      <c r="BK2514" s="93"/>
      <c r="BL2514" s="93"/>
      <c r="BW2514" s="93" t="str">
        <f>I2514</f>
        <v>21</v>
      </c>
      <c r="BX2514" s="2" t="s">
        <v>3451</v>
      </c>
    </row>
    <row r="2515" spans="1:76" s="81" customFormat="1" ht="25.5" x14ac:dyDescent="0.25">
      <c r="A2515" s="66" t="s">
        <v>3459</v>
      </c>
      <c r="B2515" s="72" t="s">
        <v>55</v>
      </c>
      <c r="C2515" s="72" t="s">
        <v>3452</v>
      </c>
      <c r="D2515" s="174" t="s">
        <v>4345</v>
      </c>
      <c r="E2515" s="174"/>
      <c r="F2515" s="72" t="s">
        <v>1332</v>
      </c>
      <c r="G2515" s="90">
        <v>1</v>
      </c>
      <c r="H2515" s="91"/>
      <c r="I2515" s="92" t="s">
        <v>63</v>
      </c>
      <c r="J2515" s="90">
        <f>G2515*AO2515</f>
        <v>0</v>
      </c>
      <c r="K2515" s="90">
        <f>G2515*AP2515</f>
        <v>0</v>
      </c>
      <c r="L2515" s="90">
        <f>G2515*H2515</f>
        <v>0</v>
      </c>
      <c r="M2515" s="90">
        <f>L2515*(1+BW2515/100)</f>
        <v>0</v>
      </c>
      <c r="N2515" s="90">
        <v>1.6209999999999999E-2</v>
      </c>
      <c r="O2515" s="90">
        <f>G2515*N2515</f>
        <v>1.6209999999999999E-2</v>
      </c>
      <c r="P2515" s="92" t="s">
        <v>64</v>
      </c>
      <c r="Z2515" s="93">
        <f>IF(AQ2515="5",BJ2515,0)</f>
        <v>0</v>
      </c>
      <c r="AB2515" s="93">
        <f>IF(AQ2515="1",BH2515,0)</f>
        <v>0</v>
      </c>
      <c r="AC2515" s="93">
        <f>IF(AQ2515="1",BI2515,0)</f>
        <v>0</v>
      </c>
      <c r="AD2515" s="93">
        <f>IF(AQ2515="7",BH2515,0)</f>
        <v>0</v>
      </c>
      <c r="AE2515" s="93">
        <f>IF(AQ2515="7",BI2515,0)</f>
        <v>0</v>
      </c>
      <c r="AF2515" s="93">
        <f>IF(AQ2515="2",BH2515,0)</f>
        <v>0</v>
      </c>
      <c r="AG2515" s="93">
        <f>IF(AQ2515="2",BI2515,0)</f>
        <v>0</v>
      </c>
      <c r="AH2515" s="93">
        <f>IF(AQ2515="0",BJ2515,0)</f>
        <v>0</v>
      </c>
      <c r="AI2515" s="88" t="s">
        <v>55</v>
      </c>
      <c r="AJ2515" s="93">
        <f>IF(AN2515=0,L2515,0)</f>
        <v>0</v>
      </c>
      <c r="AK2515" s="93">
        <f>IF(AN2515=12,L2515,0)</f>
        <v>0</v>
      </c>
      <c r="AL2515" s="93">
        <f>IF(AN2515=21,L2515,0)</f>
        <v>0</v>
      </c>
      <c r="AN2515" s="93">
        <v>21</v>
      </c>
      <c r="AO2515" s="93">
        <f>H2515*0.829343529</f>
        <v>0</v>
      </c>
      <c r="AP2515" s="93">
        <f>H2515*(1-0.829343529)</f>
        <v>0</v>
      </c>
      <c r="AQ2515" s="94" t="s">
        <v>148</v>
      </c>
      <c r="AV2515" s="93">
        <f>AW2515+AX2515</f>
        <v>0</v>
      </c>
      <c r="AW2515" s="93">
        <f>G2515*AO2515</f>
        <v>0</v>
      </c>
      <c r="AX2515" s="93">
        <f>G2515*AP2515</f>
        <v>0</v>
      </c>
      <c r="AY2515" s="94" t="s">
        <v>3131</v>
      </c>
      <c r="AZ2515" s="94" t="s">
        <v>2927</v>
      </c>
      <c r="BA2515" s="88" t="s">
        <v>67</v>
      </c>
      <c r="BC2515" s="93">
        <f>AW2515+AX2515</f>
        <v>0</v>
      </c>
      <c r="BD2515" s="93">
        <f>H2515/(100-BE2515)*100</f>
        <v>0</v>
      </c>
      <c r="BE2515" s="93">
        <v>0</v>
      </c>
      <c r="BF2515" s="93">
        <f>O2515</f>
        <v>1.6209999999999999E-2</v>
      </c>
      <c r="BH2515" s="93">
        <f>G2515*AO2515</f>
        <v>0</v>
      </c>
      <c r="BI2515" s="93">
        <f>G2515*AP2515</f>
        <v>0</v>
      </c>
      <c r="BJ2515" s="93">
        <f>G2515*H2515</f>
        <v>0</v>
      </c>
      <c r="BK2515" s="93"/>
      <c r="BL2515" s="93"/>
      <c r="BW2515" s="93" t="str">
        <f>I2515</f>
        <v>21</v>
      </c>
      <c r="BX2515" s="2" t="s">
        <v>3453</v>
      </c>
    </row>
    <row r="2516" spans="1:76" s="81" customFormat="1" ht="25.5" x14ac:dyDescent="0.25">
      <c r="A2516" s="66" t="s">
        <v>3462</v>
      </c>
      <c r="B2516" s="72" t="s">
        <v>55</v>
      </c>
      <c r="C2516" s="72" t="s">
        <v>4346</v>
      </c>
      <c r="D2516" s="174" t="s">
        <v>4347</v>
      </c>
      <c r="E2516" s="174"/>
      <c r="F2516" s="72" t="s">
        <v>1332</v>
      </c>
      <c r="G2516" s="90">
        <v>2</v>
      </c>
      <c r="H2516" s="91"/>
      <c r="I2516" s="92" t="s">
        <v>63</v>
      </c>
      <c r="J2516" s="90">
        <f>G2516*AO2516</f>
        <v>0</v>
      </c>
      <c r="K2516" s="90">
        <f>G2516*AP2516</f>
        <v>0</v>
      </c>
      <c r="L2516" s="90">
        <f>G2516*H2516</f>
        <v>0</v>
      </c>
      <c r="M2516" s="90">
        <f>L2516*(1+BW2516/100)</f>
        <v>0</v>
      </c>
      <c r="N2516" s="90">
        <v>1.6209999999999999E-2</v>
      </c>
      <c r="O2516" s="90">
        <f>G2516*N2516</f>
        <v>3.2419999999999997E-2</v>
      </c>
      <c r="P2516" s="92" t="s">
        <v>578</v>
      </c>
      <c r="Z2516" s="93">
        <f>IF(AQ2516="5",BJ2516,0)</f>
        <v>0</v>
      </c>
      <c r="AB2516" s="93">
        <f>IF(AQ2516="1",BH2516,0)</f>
        <v>0</v>
      </c>
      <c r="AC2516" s="93">
        <f>IF(AQ2516="1",BI2516,0)</f>
        <v>0</v>
      </c>
      <c r="AD2516" s="93">
        <f>IF(AQ2516="7",BH2516,0)</f>
        <v>0</v>
      </c>
      <c r="AE2516" s="93">
        <f>IF(AQ2516="7",BI2516,0)</f>
        <v>0</v>
      </c>
      <c r="AF2516" s="93">
        <f>IF(AQ2516="2",BH2516,0)</f>
        <v>0</v>
      </c>
      <c r="AG2516" s="93">
        <f>IF(AQ2516="2",BI2516,0)</f>
        <v>0</v>
      </c>
      <c r="AH2516" s="93">
        <f>IF(AQ2516="0",BJ2516,0)</f>
        <v>0</v>
      </c>
      <c r="AI2516" s="88" t="s">
        <v>55</v>
      </c>
      <c r="AJ2516" s="93">
        <f>IF(AN2516=0,L2516,0)</f>
        <v>0</v>
      </c>
      <c r="AK2516" s="93">
        <f>IF(AN2516=12,L2516,0)</f>
        <v>0</v>
      </c>
      <c r="AL2516" s="93">
        <f>IF(AN2516=21,L2516,0)</f>
        <v>0</v>
      </c>
      <c r="AN2516" s="93">
        <v>21</v>
      </c>
      <c r="AO2516" s="93">
        <f>H2516*0.829343529</f>
        <v>0</v>
      </c>
      <c r="AP2516" s="93">
        <f>H2516*(1-0.829343529)</f>
        <v>0</v>
      </c>
      <c r="AQ2516" s="94" t="s">
        <v>148</v>
      </c>
      <c r="AV2516" s="93">
        <f>AW2516+AX2516</f>
        <v>0</v>
      </c>
      <c r="AW2516" s="93">
        <f>G2516*AO2516</f>
        <v>0</v>
      </c>
      <c r="AX2516" s="93">
        <f>G2516*AP2516</f>
        <v>0</v>
      </c>
      <c r="AY2516" s="94" t="s">
        <v>3131</v>
      </c>
      <c r="AZ2516" s="94" t="s">
        <v>2927</v>
      </c>
      <c r="BA2516" s="88" t="s">
        <v>67</v>
      </c>
      <c r="BC2516" s="93">
        <f>AW2516+AX2516</f>
        <v>0</v>
      </c>
      <c r="BD2516" s="93">
        <f>H2516/(100-BE2516)*100</f>
        <v>0</v>
      </c>
      <c r="BE2516" s="93">
        <v>0</v>
      </c>
      <c r="BF2516" s="93">
        <f>O2516</f>
        <v>3.2419999999999997E-2</v>
      </c>
      <c r="BH2516" s="93">
        <f>G2516*AO2516</f>
        <v>0</v>
      </c>
      <c r="BI2516" s="93">
        <f>G2516*AP2516</f>
        <v>0</v>
      </c>
      <c r="BJ2516" s="93">
        <f>G2516*H2516</f>
        <v>0</v>
      </c>
      <c r="BK2516" s="93"/>
      <c r="BL2516" s="93"/>
      <c r="BW2516" s="93" t="str">
        <f>I2516</f>
        <v>21</v>
      </c>
      <c r="BX2516" s="2" t="s">
        <v>3453</v>
      </c>
    </row>
    <row r="2517" spans="1:76" ht="159.75" customHeight="1" x14ac:dyDescent="0.25">
      <c r="A2517" s="110"/>
      <c r="B2517" s="110"/>
      <c r="C2517" s="110"/>
      <c r="D2517" s="179" t="s">
        <v>4348</v>
      </c>
      <c r="E2517" s="196"/>
      <c r="F2517" s="196"/>
      <c r="G2517" s="196"/>
      <c r="H2517" s="196"/>
      <c r="I2517" s="196"/>
      <c r="J2517" s="196"/>
      <c r="K2517" s="196"/>
      <c r="L2517" s="196"/>
      <c r="M2517" s="196"/>
      <c r="N2517" s="196"/>
      <c r="O2517" s="196"/>
      <c r="P2517" s="196"/>
    </row>
    <row r="2518" spans="1:76" s="81" customFormat="1" ht="25.5" x14ac:dyDescent="0.25">
      <c r="A2518" s="66" t="s">
        <v>3465</v>
      </c>
      <c r="B2518" s="72" t="s">
        <v>55</v>
      </c>
      <c r="C2518" s="72" t="s">
        <v>3454</v>
      </c>
      <c r="D2518" s="174" t="s">
        <v>3455</v>
      </c>
      <c r="E2518" s="174"/>
      <c r="F2518" s="72" t="s">
        <v>203</v>
      </c>
      <c r="G2518" s="90">
        <v>1</v>
      </c>
      <c r="H2518" s="91"/>
      <c r="I2518" s="92" t="s">
        <v>63</v>
      </c>
      <c r="J2518" s="90">
        <f>G2518*AO2518</f>
        <v>0</v>
      </c>
      <c r="K2518" s="90">
        <f>G2518*AP2518</f>
        <v>0</v>
      </c>
      <c r="L2518" s="90">
        <f>G2518*H2518</f>
        <v>0</v>
      </c>
      <c r="M2518" s="90">
        <f>L2518*(1+BW2518/100)</f>
        <v>0</v>
      </c>
      <c r="N2518" s="90">
        <v>1.64E-3</v>
      </c>
      <c r="O2518" s="90">
        <f>G2518*N2518</f>
        <v>1.64E-3</v>
      </c>
      <c r="P2518" s="92" t="s">
        <v>64</v>
      </c>
      <c r="Z2518" s="93">
        <f>IF(AQ2518="5",BJ2518,0)</f>
        <v>0</v>
      </c>
      <c r="AB2518" s="93">
        <f>IF(AQ2518="1",BH2518,0)</f>
        <v>0</v>
      </c>
      <c r="AC2518" s="93">
        <f>IF(AQ2518="1",BI2518,0)</f>
        <v>0</v>
      </c>
      <c r="AD2518" s="93">
        <f>IF(AQ2518="7",BH2518,0)</f>
        <v>0</v>
      </c>
      <c r="AE2518" s="93">
        <f>IF(AQ2518="7",BI2518,0)</f>
        <v>0</v>
      </c>
      <c r="AF2518" s="93">
        <f>IF(AQ2518="2",BH2518,0)</f>
        <v>0</v>
      </c>
      <c r="AG2518" s="93">
        <f>IF(AQ2518="2",BI2518,0)</f>
        <v>0</v>
      </c>
      <c r="AH2518" s="93">
        <f>IF(AQ2518="0",BJ2518,0)</f>
        <v>0</v>
      </c>
      <c r="AI2518" s="88" t="s">
        <v>55</v>
      </c>
      <c r="AJ2518" s="93">
        <f>IF(AN2518=0,L2518,0)</f>
        <v>0</v>
      </c>
      <c r="AK2518" s="93">
        <f>IF(AN2518=12,L2518,0)</f>
        <v>0</v>
      </c>
      <c r="AL2518" s="93">
        <f>IF(AN2518=21,L2518,0)</f>
        <v>0</v>
      </c>
      <c r="AN2518" s="93">
        <v>21</v>
      </c>
      <c r="AO2518" s="93">
        <f>H2518*0.912974799</f>
        <v>0</v>
      </c>
      <c r="AP2518" s="93">
        <f>H2518*(1-0.912974799)</f>
        <v>0</v>
      </c>
      <c r="AQ2518" s="94" t="s">
        <v>148</v>
      </c>
      <c r="AV2518" s="93">
        <f>AW2518+AX2518</f>
        <v>0</v>
      </c>
      <c r="AW2518" s="93">
        <f>G2518*AO2518</f>
        <v>0</v>
      </c>
      <c r="AX2518" s="93">
        <f>G2518*AP2518</f>
        <v>0</v>
      </c>
      <c r="AY2518" s="94" t="s">
        <v>3131</v>
      </c>
      <c r="AZ2518" s="94" t="s">
        <v>2927</v>
      </c>
      <c r="BA2518" s="88" t="s">
        <v>67</v>
      </c>
      <c r="BC2518" s="93">
        <f>AW2518+AX2518</f>
        <v>0</v>
      </c>
      <c r="BD2518" s="93">
        <f>H2518/(100-BE2518)*100</f>
        <v>0</v>
      </c>
      <c r="BE2518" s="93">
        <v>0</v>
      </c>
      <c r="BF2518" s="93">
        <f>O2518</f>
        <v>1.64E-3</v>
      </c>
      <c r="BH2518" s="93">
        <f>G2518*AO2518</f>
        <v>0</v>
      </c>
      <c r="BI2518" s="93">
        <f>G2518*AP2518</f>
        <v>0</v>
      </c>
      <c r="BJ2518" s="93">
        <f>G2518*H2518</f>
        <v>0</v>
      </c>
      <c r="BK2518" s="93"/>
      <c r="BL2518" s="93"/>
      <c r="BW2518" s="93" t="str">
        <f>I2518</f>
        <v>21</v>
      </c>
      <c r="BX2518" s="2" t="s">
        <v>3455</v>
      </c>
    </row>
    <row r="2519" spans="1:76" s="81" customFormat="1" ht="25.5" x14ac:dyDescent="0.25">
      <c r="A2519" s="66" t="s">
        <v>3469</v>
      </c>
      <c r="B2519" s="72" t="s">
        <v>55</v>
      </c>
      <c r="C2519" s="72" t="s">
        <v>3456</v>
      </c>
      <c r="D2519" s="174" t="s">
        <v>3457</v>
      </c>
      <c r="E2519" s="174"/>
      <c r="F2519" s="72" t="s">
        <v>203</v>
      </c>
      <c r="G2519" s="90">
        <v>1</v>
      </c>
      <c r="H2519" s="91"/>
      <c r="I2519" s="92" t="s">
        <v>63</v>
      </c>
      <c r="J2519" s="90">
        <f>G2519*AO2519</f>
        <v>0</v>
      </c>
      <c r="K2519" s="90">
        <f>G2519*AP2519</f>
        <v>0</v>
      </c>
      <c r="L2519" s="90">
        <f>G2519*H2519</f>
        <v>0</v>
      </c>
      <c r="M2519" s="90">
        <f>L2519*(1+BW2519/100)</f>
        <v>0</v>
      </c>
      <c r="N2519" s="90">
        <v>2.5999999999999998E-4</v>
      </c>
      <c r="O2519" s="90">
        <f>G2519*N2519</f>
        <v>2.5999999999999998E-4</v>
      </c>
      <c r="P2519" s="92" t="s">
        <v>64</v>
      </c>
      <c r="Z2519" s="93">
        <f>IF(AQ2519="5",BJ2519,0)</f>
        <v>0</v>
      </c>
      <c r="AB2519" s="93">
        <f>IF(AQ2519="1",BH2519,0)</f>
        <v>0</v>
      </c>
      <c r="AC2519" s="93">
        <f>IF(AQ2519="1",BI2519,0)</f>
        <v>0</v>
      </c>
      <c r="AD2519" s="93">
        <f>IF(AQ2519="7",BH2519,0)</f>
        <v>0</v>
      </c>
      <c r="AE2519" s="93">
        <f>IF(AQ2519="7",BI2519,0)</f>
        <v>0</v>
      </c>
      <c r="AF2519" s="93">
        <f>IF(AQ2519="2",BH2519,0)</f>
        <v>0</v>
      </c>
      <c r="AG2519" s="93">
        <f>IF(AQ2519="2",BI2519,0)</f>
        <v>0</v>
      </c>
      <c r="AH2519" s="93">
        <f>IF(AQ2519="0",BJ2519,0)</f>
        <v>0</v>
      </c>
      <c r="AI2519" s="88" t="s">
        <v>55</v>
      </c>
      <c r="AJ2519" s="93">
        <f>IF(AN2519=0,L2519,0)</f>
        <v>0</v>
      </c>
      <c r="AK2519" s="93">
        <f>IF(AN2519=12,L2519,0)</f>
        <v>0</v>
      </c>
      <c r="AL2519" s="93">
        <f>IF(AN2519=21,L2519,0)</f>
        <v>0</v>
      </c>
      <c r="AN2519" s="93">
        <v>21</v>
      </c>
      <c r="AO2519" s="93">
        <f>H2519*0.755106007</f>
        <v>0</v>
      </c>
      <c r="AP2519" s="93">
        <f>H2519*(1-0.755106007)</f>
        <v>0</v>
      </c>
      <c r="AQ2519" s="94" t="s">
        <v>148</v>
      </c>
      <c r="AV2519" s="93">
        <f>AW2519+AX2519</f>
        <v>0</v>
      </c>
      <c r="AW2519" s="93">
        <f>G2519*AO2519</f>
        <v>0</v>
      </c>
      <c r="AX2519" s="93">
        <f>G2519*AP2519</f>
        <v>0</v>
      </c>
      <c r="AY2519" s="94" t="s">
        <v>3131</v>
      </c>
      <c r="AZ2519" s="94" t="s">
        <v>2927</v>
      </c>
      <c r="BA2519" s="88" t="s">
        <v>67</v>
      </c>
      <c r="BC2519" s="93">
        <f>AW2519+AX2519</f>
        <v>0</v>
      </c>
      <c r="BD2519" s="93">
        <f>H2519/(100-BE2519)*100</f>
        <v>0</v>
      </c>
      <c r="BE2519" s="93">
        <v>0</v>
      </c>
      <c r="BF2519" s="93">
        <f>O2519</f>
        <v>2.5999999999999998E-4</v>
      </c>
      <c r="BH2519" s="93">
        <f>G2519*AO2519</f>
        <v>0</v>
      </c>
      <c r="BI2519" s="93">
        <f>G2519*AP2519</f>
        <v>0</v>
      </c>
      <c r="BJ2519" s="93">
        <f>G2519*H2519</f>
        <v>0</v>
      </c>
      <c r="BK2519" s="93"/>
      <c r="BL2519" s="93"/>
      <c r="BW2519" s="93" t="str">
        <f>I2519</f>
        <v>21</v>
      </c>
      <c r="BX2519" s="2" t="s">
        <v>3457</v>
      </c>
    </row>
    <row r="2520" spans="1:76" s="81" customFormat="1" ht="13.5" customHeight="1" x14ac:dyDescent="0.25">
      <c r="A2520" s="110"/>
      <c r="B2520" s="95"/>
      <c r="C2520" s="95"/>
      <c r="D2520" s="179" t="s">
        <v>3458</v>
      </c>
      <c r="E2520" s="179"/>
      <c r="F2520" s="179"/>
      <c r="G2520" s="179"/>
      <c r="H2520" s="179"/>
      <c r="I2520" s="179"/>
      <c r="J2520" s="179"/>
      <c r="K2520" s="179"/>
      <c r="L2520" s="179"/>
      <c r="M2520" s="179"/>
      <c r="N2520" s="179"/>
      <c r="O2520" s="179"/>
      <c r="P2520" s="179"/>
    </row>
    <row r="2521" spans="1:76" s="81" customFormat="1" ht="25.5" x14ac:dyDescent="0.25">
      <c r="A2521" s="66" t="s">
        <v>3472</v>
      </c>
      <c r="B2521" s="72" t="s">
        <v>55</v>
      </c>
      <c r="C2521" s="72" t="s">
        <v>3460</v>
      </c>
      <c r="D2521" s="174" t="s">
        <v>3461</v>
      </c>
      <c r="E2521" s="174"/>
      <c r="F2521" s="72" t="s">
        <v>1332</v>
      </c>
      <c r="G2521" s="90">
        <v>3</v>
      </c>
      <c r="H2521" s="91"/>
      <c r="I2521" s="92" t="s">
        <v>63</v>
      </c>
      <c r="J2521" s="90">
        <f>G2521*AO2521</f>
        <v>0</v>
      </c>
      <c r="K2521" s="90">
        <f>G2521*AP2521</f>
        <v>0</v>
      </c>
      <c r="L2521" s="90">
        <f>G2521*H2521</f>
        <v>0</v>
      </c>
      <c r="M2521" s="90">
        <f>L2521*(1+BW2521/100)</f>
        <v>0</v>
      </c>
      <c r="N2521" s="90">
        <v>1.09E-2</v>
      </c>
      <c r="O2521" s="90">
        <f>G2521*N2521</f>
        <v>3.27E-2</v>
      </c>
      <c r="P2521" s="92" t="s">
        <v>64</v>
      </c>
      <c r="Z2521" s="93">
        <f>IF(AQ2521="5",BJ2521,0)</f>
        <v>0</v>
      </c>
      <c r="AB2521" s="93">
        <f>IF(AQ2521="1",BH2521,0)</f>
        <v>0</v>
      </c>
      <c r="AC2521" s="93">
        <f>IF(AQ2521="1",BI2521,0)</f>
        <v>0</v>
      </c>
      <c r="AD2521" s="93">
        <f>IF(AQ2521="7",BH2521,0)</f>
        <v>0</v>
      </c>
      <c r="AE2521" s="93">
        <f>IF(AQ2521="7",BI2521,0)</f>
        <v>0</v>
      </c>
      <c r="AF2521" s="93">
        <f>IF(AQ2521="2",BH2521,0)</f>
        <v>0</v>
      </c>
      <c r="AG2521" s="93">
        <f>IF(AQ2521="2",BI2521,0)</f>
        <v>0</v>
      </c>
      <c r="AH2521" s="93">
        <f>IF(AQ2521="0",BJ2521,0)</f>
        <v>0</v>
      </c>
      <c r="AI2521" s="88" t="s">
        <v>55</v>
      </c>
      <c r="AJ2521" s="93">
        <f>IF(AN2521=0,L2521,0)</f>
        <v>0</v>
      </c>
      <c r="AK2521" s="93">
        <f>IF(AN2521=12,L2521,0)</f>
        <v>0</v>
      </c>
      <c r="AL2521" s="93">
        <f>IF(AN2521=21,L2521,0)</f>
        <v>0</v>
      </c>
      <c r="AN2521" s="93">
        <v>21</v>
      </c>
      <c r="AO2521" s="93">
        <f>H2521*0.889170219</f>
        <v>0</v>
      </c>
      <c r="AP2521" s="93">
        <f>H2521*(1-0.889170219)</f>
        <v>0</v>
      </c>
      <c r="AQ2521" s="94" t="s">
        <v>148</v>
      </c>
      <c r="AV2521" s="93">
        <f>AW2521+AX2521</f>
        <v>0</v>
      </c>
      <c r="AW2521" s="93">
        <f>G2521*AO2521</f>
        <v>0</v>
      </c>
      <c r="AX2521" s="93">
        <f>G2521*AP2521</f>
        <v>0</v>
      </c>
      <c r="AY2521" s="94" t="s">
        <v>3131</v>
      </c>
      <c r="AZ2521" s="94" t="s">
        <v>2927</v>
      </c>
      <c r="BA2521" s="88" t="s">
        <v>67</v>
      </c>
      <c r="BC2521" s="93">
        <f>AW2521+AX2521</f>
        <v>0</v>
      </c>
      <c r="BD2521" s="93">
        <f>H2521/(100-BE2521)*100</f>
        <v>0</v>
      </c>
      <c r="BE2521" s="93">
        <v>0</v>
      </c>
      <c r="BF2521" s="93">
        <f>O2521</f>
        <v>3.27E-2</v>
      </c>
      <c r="BH2521" s="93">
        <f>G2521*AO2521</f>
        <v>0</v>
      </c>
      <c r="BI2521" s="93">
        <f>G2521*AP2521</f>
        <v>0</v>
      </c>
      <c r="BJ2521" s="93">
        <f>G2521*H2521</f>
        <v>0</v>
      </c>
      <c r="BK2521" s="93"/>
      <c r="BL2521" s="93"/>
      <c r="BW2521" s="93" t="str">
        <f>I2521</f>
        <v>21</v>
      </c>
      <c r="BX2521" s="2" t="s">
        <v>3461</v>
      </c>
    </row>
    <row r="2522" spans="1:76" s="81" customFormat="1" ht="25.5" x14ac:dyDescent="0.25">
      <c r="A2522" s="66" t="s">
        <v>3475</v>
      </c>
      <c r="B2522" s="72" t="s">
        <v>55</v>
      </c>
      <c r="C2522" s="72" t="s">
        <v>3463</v>
      </c>
      <c r="D2522" s="174" t="s">
        <v>3464</v>
      </c>
      <c r="E2522" s="174"/>
      <c r="F2522" s="72" t="s">
        <v>203</v>
      </c>
      <c r="G2522" s="90">
        <v>3</v>
      </c>
      <c r="H2522" s="91"/>
      <c r="I2522" s="92" t="s">
        <v>63</v>
      </c>
      <c r="J2522" s="90">
        <f>G2522*AO2522</f>
        <v>0</v>
      </c>
      <c r="K2522" s="90">
        <f>G2522*AP2522</f>
        <v>0</v>
      </c>
      <c r="L2522" s="90">
        <f>G2522*H2522</f>
        <v>0</v>
      </c>
      <c r="M2522" s="90">
        <f>L2522*(1+BW2522/100)</f>
        <v>0</v>
      </c>
      <c r="N2522" s="90">
        <v>1.72E-3</v>
      </c>
      <c r="O2522" s="90">
        <f>G2522*N2522</f>
        <v>5.1599999999999997E-3</v>
      </c>
      <c r="P2522" s="92" t="s">
        <v>64</v>
      </c>
      <c r="Z2522" s="93">
        <f>IF(AQ2522="5",BJ2522,0)</f>
        <v>0</v>
      </c>
      <c r="AB2522" s="93">
        <f>IF(AQ2522="1",BH2522,0)</f>
        <v>0</v>
      </c>
      <c r="AC2522" s="93">
        <f>IF(AQ2522="1",BI2522,0)</f>
        <v>0</v>
      </c>
      <c r="AD2522" s="93">
        <f>IF(AQ2522="7",BH2522,0)</f>
        <v>0</v>
      </c>
      <c r="AE2522" s="93">
        <f>IF(AQ2522="7",BI2522,0)</f>
        <v>0</v>
      </c>
      <c r="AF2522" s="93">
        <f>IF(AQ2522="2",BH2522,0)</f>
        <v>0</v>
      </c>
      <c r="AG2522" s="93">
        <f>IF(AQ2522="2",BI2522,0)</f>
        <v>0</v>
      </c>
      <c r="AH2522" s="93">
        <f>IF(AQ2522="0",BJ2522,0)</f>
        <v>0</v>
      </c>
      <c r="AI2522" s="88" t="s">
        <v>55</v>
      </c>
      <c r="AJ2522" s="93">
        <f>IF(AN2522=0,L2522,0)</f>
        <v>0</v>
      </c>
      <c r="AK2522" s="93">
        <f>IF(AN2522=12,L2522,0)</f>
        <v>0</v>
      </c>
      <c r="AL2522" s="93">
        <f>IF(AN2522=21,L2522,0)</f>
        <v>0</v>
      </c>
      <c r="AN2522" s="93">
        <v>21</v>
      </c>
      <c r="AO2522" s="93">
        <f>H2522*0.898026616</f>
        <v>0</v>
      </c>
      <c r="AP2522" s="93">
        <f>H2522*(1-0.898026616)</f>
        <v>0</v>
      </c>
      <c r="AQ2522" s="94" t="s">
        <v>148</v>
      </c>
      <c r="AV2522" s="93">
        <f>AW2522+AX2522</f>
        <v>0</v>
      </c>
      <c r="AW2522" s="93">
        <f>G2522*AO2522</f>
        <v>0</v>
      </c>
      <c r="AX2522" s="93">
        <f>G2522*AP2522</f>
        <v>0</v>
      </c>
      <c r="AY2522" s="94" t="s">
        <v>3131</v>
      </c>
      <c r="AZ2522" s="94" t="s">
        <v>2927</v>
      </c>
      <c r="BA2522" s="88" t="s">
        <v>67</v>
      </c>
      <c r="BC2522" s="93">
        <f>AW2522+AX2522</f>
        <v>0</v>
      </c>
      <c r="BD2522" s="93">
        <f>H2522/(100-BE2522)*100</f>
        <v>0</v>
      </c>
      <c r="BE2522" s="93">
        <v>0</v>
      </c>
      <c r="BF2522" s="93">
        <f>O2522</f>
        <v>5.1599999999999997E-3</v>
      </c>
      <c r="BH2522" s="93">
        <f>G2522*AO2522</f>
        <v>0</v>
      </c>
      <c r="BI2522" s="93">
        <f>G2522*AP2522</f>
        <v>0</v>
      </c>
      <c r="BJ2522" s="93">
        <f>G2522*H2522</f>
        <v>0</v>
      </c>
      <c r="BK2522" s="93"/>
      <c r="BL2522" s="93"/>
      <c r="BW2522" s="93" t="str">
        <f>I2522</f>
        <v>21</v>
      </c>
      <c r="BX2522" s="2" t="s">
        <v>3464</v>
      </c>
    </row>
    <row r="2523" spans="1:76" s="81" customFormat="1" ht="25.5" x14ac:dyDescent="0.25">
      <c r="A2523" s="66" t="s">
        <v>3478</v>
      </c>
      <c r="B2523" s="72" t="s">
        <v>55</v>
      </c>
      <c r="C2523" s="72" t="s">
        <v>3466</v>
      </c>
      <c r="D2523" s="174" t="s">
        <v>3467</v>
      </c>
      <c r="E2523" s="174"/>
      <c r="F2523" s="72" t="s">
        <v>203</v>
      </c>
      <c r="G2523" s="90">
        <v>2</v>
      </c>
      <c r="H2523" s="91"/>
      <c r="I2523" s="92" t="s">
        <v>63</v>
      </c>
      <c r="J2523" s="90">
        <f>G2523*AO2523</f>
        <v>0</v>
      </c>
      <c r="K2523" s="90">
        <f>G2523*AP2523</f>
        <v>0</v>
      </c>
      <c r="L2523" s="90">
        <f>G2523*H2523</f>
        <v>0</v>
      </c>
      <c r="M2523" s="90">
        <f>L2523*(1+BW2523/100)</f>
        <v>0</v>
      </c>
      <c r="N2523" s="90">
        <v>1.01E-3</v>
      </c>
      <c r="O2523" s="90">
        <f>G2523*N2523</f>
        <v>2.0200000000000001E-3</v>
      </c>
      <c r="P2523" s="92" t="s">
        <v>64</v>
      </c>
      <c r="Z2523" s="93">
        <f>IF(AQ2523="5",BJ2523,0)</f>
        <v>0</v>
      </c>
      <c r="AB2523" s="93">
        <f>IF(AQ2523="1",BH2523,0)</f>
        <v>0</v>
      </c>
      <c r="AC2523" s="93">
        <f>IF(AQ2523="1",BI2523,0)</f>
        <v>0</v>
      </c>
      <c r="AD2523" s="93">
        <f>IF(AQ2523="7",BH2523,0)</f>
        <v>0</v>
      </c>
      <c r="AE2523" s="93">
        <f>IF(AQ2523="7",BI2523,0)</f>
        <v>0</v>
      </c>
      <c r="AF2523" s="93">
        <f>IF(AQ2523="2",BH2523,0)</f>
        <v>0</v>
      </c>
      <c r="AG2523" s="93">
        <f>IF(AQ2523="2",BI2523,0)</f>
        <v>0</v>
      </c>
      <c r="AH2523" s="93">
        <f>IF(AQ2523="0",BJ2523,0)</f>
        <v>0</v>
      </c>
      <c r="AI2523" s="88" t="s">
        <v>55</v>
      </c>
      <c r="AJ2523" s="93">
        <f>IF(AN2523=0,L2523,0)</f>
        <v>0</v>
      </c>
      <c r="AK2523" s="93">
        <f>IF(AN2523=12,L2523,0)</f>
        <v>0</v>
      </c>
      <c r="AL2523" s="93">
        <f>IF(AN2523=21,L2523,0)</f>
        <v>0</v>
      </c>
      <c r="AN2523" s="93">
        <v>21</v>
      </c>
      <c r="AO2523" s="93">
        <f>H2523*0.947595463</f>
        <v>0</v>
      </c>
      <c r="AP2523" s="93">
        <f>H2523*(1-0.947595463)</f>
        <v>0</v>
      </c>
      <c r="AQ2523" s="94" t="s">
        <v>148</v>
      </c>
      <c r="AV2523" s="93">
        <f>AW2523+AX2523</f>
        <v>0</v>
      </c>
      <c r="AW2523" s="93">
        <f>G2523*AO2523</f>
        <v>0</v>
      </c>
      <c r="AX2523" s="93">
        <f>G2523*AP2523</f>
        <v>0</v>
      </c>
      <c r="AY2523" s="94" t="s">
        <v>3131</v>
      </c>
      <c r="AZ2523" s="94" t="s">
        <v>2927</v>
      </c>
      <c r="BA2523" s="88" t="s">
        <v>67</v>
      </c>
      <c r="BC2523" s="93">
        <f>AW2523+AX2523</f>
        <v>0</v>
      </c>
      <c r="BD2523" s="93">
        <f>H2523/(100-BE2523)*100</f>
        <v>0</v>
      </c>
      <c r="BE2523" s="93">
        <v>0</v>
      </c>
      <c r="BF2523" s="93">
        <f>O2523</f>
        <v>2.0200000000000001E-3</v>
      </c>
      <c r="BH2523" s="93">
        <f>G2523*AO2523</f>
        <v>0</v>
      </c>
      <c r="BI2523" s="93">
        <f>G2523*AP2523</f>
        <v>0</v>
      </c>
      <c r="BJ2523" s="93">
        <f>G2523*H2523</f>
        <v>0</v>
      </c>
      <c r="BK2523" s="93"/>
      <c r="BL2523" s="93"/>
      <c r="BW2523" s="93" t="str">
        <f>I2523</f>
        <v>21</v>
      </c>
      <c r="BX2523" s="2" t="s">
        <v>3467</v>
      </c>
    </row>
    <row r="2524" spans="1:76" s="81" customFormat="1" ht="13.5" customHeight="1" x14ac:dyDescent="0.25">
      <c r="A2524" s="110"/>
      <c r="B2524" s="95"/>
      <c r="C2524" s="95"/>
      <c r="D2524" s="179" t="s">
        <v>3468</v>
      </c>
      <c r="E2524" s="179"/>
      <c r="F2524" s="179"/>
      <c r="G2524" s="179"/>
      <c r="H2524" s="179"/>
      <c r="I2524" s="179"/>
      <c r="J2524" s="179"/>
      <c r="K2524" s="179"/>
      <c r="L2524" s="179"/>
      <c r="M2524" s="179"/>
      <c r="N2524" s="179"/>
      <c r="O2524" s="179"/>
      <c r="P2524" s="179"/>
    </row>
    <row r="2525" spans="1:76" s="81" customFormat="1" ht="25.5" x14ac:dyDescent="0.25">
      <c r="A2525" s="66" t="s">
        <v>3482</v>
      </c>
      <c r="B2525" s="72" t="s">
        <v>55</v>
      </c>
      <c r="C2525" s="72" t="s">
        <v>3470</v>
      </c>
      <c r="D2525" s="174" t="s">
        <v>3471</v>
      </c>
      <c r="E2525" s="174"/>
      <c r="F2525" s="72" t="s">
        <v>203</v>
      </c>
      <c r="G2525" s="90">
        <v>4</v>
      </c>
      <c r="H2525" s="91"/>
      <c r="I2525" s="92" t="s">
        <v>63</v>
      </c>
      <c r="J2525" s="90">
        <f>G2525*AO2525</f>
        <v>0</v>
      </c>
      <c r="K2525" s="90">
        <f>G2525*AP2525</f>
        <v>0</v>
      </c>
      <c r="L2525" s="90">
        <f>G2525*H2525</f>
        <v>0</v>
      </c>
      <c r="M2525" s="90">
        <f>L2525*(1+BW2525/100)</f>
        <v>0</v>
      </c>
      <c r="N2525" s="90">
        <v>2.0000000000000001E-4</v>
      </c>
      <c r="O2525" s="90">
        <f>G2525*N2525</f>
        <v>8.0000000000000004E-4</v>
      </c>
      <c r="P2525" s="92" t="s">
        <v>3439</v>
      </c>
      <c r="Z2525" s="93">
        <f>IF(AQ2525="5",BJ2525,0)</f>
        <v>0</v>
      </c>
      <c r="AB2525" s="93">
        <f>IF(AQ2525="1",BH2525,0)</f>
        <v>0</v>
      </c>
      <c r="AC2525" s="93">
        <f>IF(AQ2525="1",BI2525,0)</f>
        <v>0</v>
      </c>
      <c r="AD2525" s="93">
        <f>IF(AQ2525="7",BH2525,0)</f>
        <v>0</v>
      </c>
      <c r="AE2525" s="93">
        <f>IF(AQ2525="7",BI2525,0)</f>
        <v>0</v>
      </c>
      <c r="AF2525" s="93">
        <f>IF(AQ2525="2",BH2525,0)</f>
        <v>0</v>
      </c>
      <c r="AG2525" s="93">
        <f>IF(AQ2525="2",BI2525,0)</f>
        <v>0</v>
      </c>
      <c r="AH2525" s="93">
        <f>IF(AQ2525="0",BJ2525,0)</f>
        <v>0</v>
      </c>
      <c r="AI2525" s="88" t="s">
        <v>55</v>
      </c>
      <c r="AJ2525" s="93">
        <f>IF(AN2525=0,L2525,0)</f>
        <v>0</v>
      </c>
      <c r="AK2525" s="93">
        <f>IF(AN2525=12,L2525,0)</f>
        <v>0</v>
      </c>
      <c r="AL2525" s="93">
        <f>IF(AN2525=21,L2525,0)</f>
        <v>0</v>
      </c>
      <c r="AN2525" s="93">
        <v>21</v>
      </c>
      <c r="AO2525" s="93">
        <f>H2525*0.917095636</f>
        <v>0</v>
      </c>
      <c r="AP2525" s="93">
        <f>H2525*(1-0.917095636)</f>
        <v>0</v>
      </c>
      <c r="AQ2525" s="94" t="s">
        <v>148</v>
      </c>
      <c r="AV2525" s="93">
        <f>AW2525+AX2525</f>
        <v>0</v>
      </c>
      <c r="AW2525" s="93">
        <f>G2525*AO2525</f>
        <v>0</v>
      </c>
      <c r="AX2525" s="93">
        <f>G2525*AP2525</f>
        <v>0</v>
      </c>
      <c r="AY2525" s="94" t="s">
        <v>3131</v>
      </c>
      <c r="AZ2525" s="94" t="s">
        <v>2927</v>
      </c>
      <c r="BA2525" s="88" t="s">
        <v>67</v>
      </c>
      <c r="BC2525" s="93">
        <f>AW2525+AX2525</f>
        <v>0</v>
      </c>
      <c r="BD2525" s="93">
        <f>H2525/(100-BE2525)*100</f>
        <v>0</v>
      </c>
      <c r="BE2525" s="93">
        <v>0</v>
      </c>
      <c r="BF2525" s="93">
        <f>O2525</f>
        <v>8.0000000000000004E-4</v>
      </c>
      <c r="BH2525" s="93">
        <f>G2525*AO2525</f>
        <v>0</v>
      </c>
      <c r="BI2525" s="93">
        <f>G2525*AP2525</f>
        <v>0</v>
      </c>
      <c r="BJ2525" s="93">
        <f>G2525*H2525</f>
        <v>0</v>
      </c>
      <c r="BK2525" s="93"/>
      <c r="BL2525" s="93"/>
      <c r="BW2525" s="93" t="str">
        <f>I2525</f>
        <v>21</v>
      </c>
      <c r="BX2525" s="2" t="s">
        <v>3471</v>
      </c>
    </row>
    <row r="2526" spans="1:76" s="81" customFormat="1" ht="25.5" x14ac:dyDescent="0.25">
      <c r="A2526" s="66" t="s">
        <v>3485</v>
      </c>
      <c r="B2526" s="72" t="s">
        <v>55</v>
      </c>
      <c r="C2526" s="72" t="s">
        <v>3473</v>
      </c>
      <c r="D2526" s="174" t="s">
        <v>3474</v>
      </c>
      <c r="E2526" s="174"/>
      <c r="F2526" s="72" t="s">
        <v>1332</v>
      </c>
      <c r="G2526" s="90">
        <v>8</v>
      </c>
      <c r="H2526" s="91"/>
      <c r="I2526" s="92" t="s">
        <v>63</v>
      </c>
      <c r="J2526" s="90">
        <f>G2526*AO2526</f>
        <v>0</v>
      </c>
      <c r="K2526" s="90">
        <f>G2526*AP2526</f>
        <v>0</v>
      </c>
      <c r="L2526" s="90">
        <f>G2526*H2526</f>
        <v>0</v>
      </c>
      <c r="M2526" s="90">
        <f>L2526*(1+BW2526/100)</f>
        <v>0</v>
      </c>
      <c r="N2526" s="90">
        <v>1.772E-2</v>
      </c>
      <c r="O2526" s="90">
        <f>G2526*N2526</f>
        <v>0.14176</v>
      </c>
      <c r="P2526" s="92" t="s">
        <v>64</v>
      </c>
      <c r="Z2526" s="93">
        <f>IF(AQ2526="5",BJ2526,0)</f>
        <v>0</v>
      </c>
      <c r="AB2526" s="93">
        <f>IF(AQ2526="1",BH2526,0)</f>
        <v>0</v>
      </c>
      <c r="AC2526" s="93">
        <f>IF(AQ2526="1",BI2526,0)</f>
        <v>0</v>
      </c>
      <c r="AD2526" s="93">
        <f>IF(AQ2526="7",BH2526,0)</f>
        <v>0</v>
      </c>
      <c r="AE2526" s="93">
        <f>IF(AQ2526="7",BI2526,0)</f>
        <v>0</v>
      </c>
      <c r="AF2526" s="93">
        <f>IF(AQ2526="2",BH2526,0)</f>
        <v>0</v>
      </c>
      <c r="AG2526" s="93">
        <f>IF(AQ2526="2",BI2526,0)</f>
        <v>0</v>
      </c>
      <c r="AH2526" s="93">
        <f>IF(AQ2526="0",BJ2526,0)</f>
        <v>0</v>
      </c>
      <c r="AI2526" s="88" t="s">
        <v>55</v>
      </c>
      <c r="AJ2526" s="93">
        <f>IF(AN2526=0,L2526,0)</f>
        <v>0</v>
      </c>
      <c r="AK2526" s="93">
        <f>IF(AN2526=12,L2526,0)</f>
        <v>0</v>
      </c>
      <c r="AL2526" s="93">
        <f>IF(AN2526=21,L2526,0)</f>
        <v>0</v>
      </c>
      <c r="AN2526" s="93">
        <v>21</v>
      </c>
      <c r="AO2526" s="93">
        <f>H2526*0.893443447</f>
        <v>0</v>
      </c>
      <c r="AP2526" s="93">
        <f>H2526*(1-0.893443447)</f>
        <v>0</v>
      </c>
      <c r="AQ2526" s="94" t="s">
        <v>148</v>
      </c>
      <c r="AV2526" s="93">
        <f>AW2526+AX2526</f>
        <v>0</v>
      </c>
      <c r="AW2526" s="93">
        <f>G2526*AO2526</f>
        <v>0</v>
      </c>
      <c r="AX2526" s="93">
        <f>G2526*AP2526</f>
        <v>0</v>
      </c>
      <c r="AY2526" s="94" t="s">
        <v>3131</v>
      </c>
      <c r="AZ2526" s="94" t="s">
        <v>2927</v>
      </c>
      <c r="BA2526" s="88" t="s">
        <v>67</v>
      </c>
      <c r="BC2526" s="93">
        <f>AW2526+AX2526</f>
        <v>0</v>
      </c>
      <c r="BD2526" s="93">
        <f>H2526/(100-BE2526)*100</f>
        <v>0</v>
      </c>
      <c r="BE2526" s="93">
        <v>0</v>
      </c>
      <c r="BF2526" s="93">
        <f>O2526</f>
        <v>0.14176</v>
      </c>
      <c r="BH2526" s="93">
        <f>G2526*AO2526</f>
        <v>0</v>
      </c>
      <c r="BI2526" s="93">
        <f>G2526*AP2526</f>
        <v>0</v>
      </c>
      <c r="BJ2526" s="93">
        <f>G2526*H2526</f>
        <v>0</v>
      </c>
      <c r="BK2526" s="93"/>
      <c r="BL2526" s="93"/>
      <c r="BW2526" s="93" t="str">
        <f>I2526</f>
        <v>21</v>
      </c>
      <c r="BX2526" s="2" t="s">
        <v>3474</v>
      </c>
    </row>
    <row r="2527" spans="1:76" x14ac:dyDescent="0.25">
      <c r="A2527" s="66" t="s">
        <v>3491</v>
      </c>
      <c r="B2527" s="66" t="s">
        <v>55</v>
      </c>
      <c r="C2527" s="66" t="s">
        <v>4334</v>
      </c>
      <c r="D2527" s="174" t="s">
        <v>4335</v>
      </c>
      <c r="E2527" s="175"/>
      <c r="F2527" s="66" t="s">
        <v>203</v>
      </c>
      <c r="G2527" s="67">
        <v>1</v>
      </c>
      <c r="H2527" s="106"/>
      <c r="I2527" s="104">
        <v>21</v>
      </c>
      <c r="J2527" s="67">
        <f>ROUND(G2527*AO2527,2)</f>
        <v>0</v>
      </c>
      <c r="K2527" s="67">
        <f>ROUND(G2527*AP2527,2)</f>
        <v>0</v>
      </c>
      <c r="L2527" s="67">
        <f>ROUND(G2527*H2527,2)</f>
        <v>0</v>
      </c>
      <c r="M2527" s="67">
        <f>L2527*(1+BW2527/100)</f>
        <v>0</v>
      </c>
      <c r="N2527" s="67">
        <v>6.4099999999999999E-3</v>
      </c>
      <c r="O2527" s="67">
        <f>G2527*N2527</f>
        <v>6.4099999999999999E-3</v>
      </c>
      <c r="P2527" s="105" t="s">
        <v>578</v>
      </c>
      <c r="Z2527" s="23">
        <f>ROUND(IF(AQ2527="5",BJ2527,0),2)</f>
        <v>0</v>
      </c>
      <c r="AB2527" s="23">
        <f>ROUND(IF(AQ2527="1",BH2527,0),2)</f>
        <v>0</v>
      </c>
      <c r="AC2527" s="23">
        <f>ROUND(IF(AQ2527="1",BI2527,0),2)</f>
        <v>0</v>
      </c>
      <c r="AD2527" s="23">
        <f>ROUND(IF(AQ2527="7",BH2527,0),2)</f>
        <v>0</v>
      </c>
      <c r="AE2527" s="23">
        <f>ROUND(IF(AQ2527="7",BI2527,0),2)</f>
        <v>0</v>
      </c>
      <c r="AF2527" s="23">
        <f>ROUND(IF(AQ2527="2",BH2527,0),2)</f>
        <v>0</v>
      </c>
      <c r="AG2527" s="23">
        <f>ROUND(IF(AQ2527="2",BI2527,0),2)</f>
        <v>0</v>
      </c>
      <c r="AH2527" s="23">
        <f>ROUND(IF(AQ2527="0",BJ2527,0),2)</f>
        <v>0</v>
      </c>
      <c r="AI2527" s="10" t="s">
        <v>55</v>
      </c>
      <c r="AJ2527" s="23">
        <f>IF(AN2527=0,L2527,0)</f>
        <v>0</v>
      </c>
      <c r="AK2527" s="23">
        <f>IF(AN2527=12,L2527,0)</f>
        <v>0</v>
      </c>
      <c r="AL2527" s="23">
        <f>IF(AN2527=21,L2527,0)</f>
        <v>0</v>
      </c>
      <c r="AN2527" s="23">
        <v>21</v>
      </c>
      <c r="AO2527" s="23">
        <f>H2527*0</f>
        <v>0</v>
      </c>
      <c r="AP2527" s="23">
        <f>H2527*(1-0)</f>
        <v>0</v>
      </c>
      <c r="AQ2527" s="111" t="s">
        <v>148</v>
      </c>
      <c r="AV2527" s="23">
        <f>ROUND(AW2527+AX2527,2)</f>
        <v>0</v>
      </c>
      <c r="AW2527" s="23">
        <f>ROUND(G2527*AO2527,2)</f>
        <v>0</v>
      </c>
      <c r="AX2527" s="23">
        <f>ROUND(G2527*AP2527,2)</f>
        <v>0</v>
      </c>
      <c r="AY2527" s="111" t="s">
        <v>3131</v>
      </c>
      <c r="AZ2527" s="111" t="s">
        <v>2927</v>
      </c>
      <c r="BA2527" s="10" t="s">
        <v>67</v>
      </c>
      <c r="BC2527" s="23">
        <f>AW2527+AX2527</f>
        <v>0</v>
      </c>
      <c r="BD2527" s="23">
        <f>H2527/(100-BE2527)*100</f>
        <v>0</v>
      </c>
      <c r="BE2527" s="23">
        <v>0</v>
      </c>
      <c r="BF2527" s="23">
        <f>O2527</f>
        <v>6.4099999999999999E-3</v>
      </c>
      <c r="BH2527" s="23">
        <f>G2527*AO2527</f>
        <v>0</v>
      </c>
      <c r="BI2527" s="23">
        <f>G2527*AP2527</f>
        <v>0</v>
      </c>
      <c r="BJ2527" s="23">
        <f>G2527*H2527</f>
        <v>0</v>
      </c>
      <c r="BK2527" s="23"/>
      <c r="BL2527" s="23"/>
      <c r="BW2527" s="23">
        <f>I2527</f>
        <v>21</v>
      </c>
      <c r="BX2527" s="2" t="s">
        <v>4335</v>
      </c>
    </row>
    <row r="2528" spans="1:76" ht="13.5" customHeight="1" x14ac:dyDescent="0.25">
      <c r="A2528" s="110"/>
      <c r="B2528" s="110"/>
      <c r="C2528" s="110"/>
      <c r="D2528" s="179" t="s">
        <v>4336</v>
      </c>
      <c r="E2528" s="196"/>
      <c r="F2528" s="196"/>
      <c r="G2528" s="196"/>
      <c r="H2528" s="196"/>
      <c r="I2528" s="196"/>
      <c r="J2528" s="196"/>
      <c r="K2528" s="196"/>
      <c r="L2528" s="196"/>
      <c r="M2528" s="196"/>
      <c r="N2528" s="196"/>
      <c r="O2528" s="196"/>
      <c r="P2528" s="196"/>
    </row>
    <row r="2529" spans="1:76" x14ac:dyDescent="0.25">
      <c r="A2529" s="66" t="s">
        <v>3496</v>
      </c>
      <c r="B2529" s="66" t="s">
        <v>55</v>
      </c>
      <c r="C2529" s="66" t="s">
        <v>4337</v>
      </c>
      <c r="D2529" s="174" t="s">
        <v>4343</v>
      </c>
      <c r="E2529" s="175"/>
      <c r="F2529" s="66" t="s">
        <v>203</v>
      </c>
      <c r="G2529" s="67">
        <v>1</v>
      </c>
      <c r="H2529" s="106"/>
      <c r="I2529" s="104">
        <v>21</v>
      </c>
      <c r="J2529" s="67">
        <f>ROUND(G2529*AO2529,2)</f>
        <v>0</v>
      </c>
      <c r="K2529" s="67">
        <f>ROUND(G2529*AP2529,2)</f>
        <v>0</v>
      </c>
      <c r="L2529" s="67">
        <f>ROUND(G2529*H2529,2)</f>
        <v>0</v>
      </c>
      <c r="M2529" s="67">
        <f>L2529*(1+BW2529/100)</f>
        <v>0</v>
      </c>
      <c r="N2529" s="67">
        <v>6.4099999999999999E-3</v>
      </c>
      <c r="O2529" s="67">
        <f>G2529*N2529</f>
        <v>6.4099999999999999E-3</v>
      </c>
      <c r="P2529" s="105" t="s">
        <v>578</v>
      </c>
      <c r="Z2529" s="23">
        <f>ROUND(IF(AQ2529="5",BJ2529,0),2)</f>
        <v>0</v>
      </c>
      <c r="AB2529" s="23">
        <f>ROUND(IF(AQ2529="1",BH2529,0),2)</f>
        <v>0</v>
      </c>
      <c r="AC2529" s="23">
        <f>ROUND(IF(AQ2529="1",BI2529,0),2)</f>
        <v>0</v>
      </c>
      <c r="AD2529" s="23">
        <f>ROUND(IF(AQ2529="7",BH2529,0),2)</f>
        <v>0</v>
      </c>
      <c r="AE2529" s="23">
        <f>ROUND(IF(AQ2529="7",BI2529,0),2)</f>
        <v>0</v>
      </c>
      <c r="AF2529" s="23">
        <f>ROUND(IF(AQ2529="2",BH2529,0),2)</f>
        <v>0</v>
      </c>
      <c r="AG2529" s="23">
        <f>ROUND(IF(AQ2529="2",BI2529,0),2)</f>
        <v>0</v>
      </c>
      <c r="AH2529" s="23">
        <f>ROUND(IF(AQ2529="0",BJ2529,0),2)</f>
        <v>0</v>
      </c>
      <c r="AI2529" s="10" t="s">
        <v>55</v>
      </c>
      <c r="AJ2529" s="23">
        <f>IF(AN2529=0,L2529,0)</f>
        <v>0</v>
      </c>
      <c r="AK2529" s="23">
        <f>IF(AN2529=12,L2529,0)</f>
        <v>0</v>
      </c>
      <c r="AL2529" s="23">
        <f>IF(AN2529=21,L2529,0)</f>
        <v>0</v>
      </c>
      <c r="AN2529" s="23">
        <v>21</v>
      </c>
      <c r="AO2529" s="23">
        <f>H2529*0</f>
        <v>0</v>
      </c>
      <c r="AP2529" s="23">
        <f>H2529*(1-0)</f>
        <v>0</v>
      </c>
      <c r="AQ2529" s="111" t="s">
        <v>148</v>
      </c>
      <c r="AV2529" s="23">
        <f>ROUND(AW2529+AX2529,2)</f>
        <v>0</v>
      </c>
      <c r="AW2529" s="23">
        <f>ROUND(G2529*AO2529,2)</f>
        <v>0</v>
      </c>
      <c r="AX2529" s="23">
        <f>ROUND(G2529*AP2529,2)</f>
        <v>0</v>
      </c>
      <c r="AY2529" s="111" t="s">
        <v>3131</v>
      </c>
      <c r="AZ2529" s="111" t="s">
        <v>2927</v>
      </c>
      <c r="BA2529" s="10" t="s">
        <v>67</v>
      </c>
      <c r="BC2529" s="23">
        <f>AW2529+AX2529</f>
        <v>0</v>
      </c>
      <c r="BD2529" s="23">
        <f>H2529/(100-BE2529)*100</f>
        <v>0</v>
      </c>
      <c r="BE2529" s="23">
        <v>0</v>
      </c>
      <c r="BF2529" s="23">
        <f>O2529</f>
        <v>6.4099999999999999E-3</v>
      </c>
      <c r="BH2529" s="23">
        <f>G2529*AO2529</f>
        <v>0</v>
      </c>
      <c r="BI2529" s="23">
        <f>G2529*AP2529</f>
        <v>0</v>
      </c>
      <c r="BJ2529" s="23">
        <f>G2529*H2529</f>
        <v>0</v>
      </c>
      <c r="BK2529" s="23"/>
      <c r="BL2529" s="23"/>
      <c r="BW2529" s="23">
        <f>I2529</f>
        <v>21</v>
      </c>
      <c r="BX2529" s="2" t="s">
        <v>4338</v>
      </c>
    </row>
    <row r="2530" spans="1:76" ht="108.75" customHeight="1" x14ac:dyDescent="0.25">
      <c r="A2530" s="110"/>
      <c r="B2530" s="110"/>
      <c r="C2530" s="110"/>
      <c r="D2530" s="179" t="s">
        <v>4344</v>
      </c>
      <c r="E2530" s="196"/>
      <c r="F2530" s="196"/>
      <c r="G2530" s="196"/>
      <c r="H2530" s="196"/>
      <c r="I2530" s="196"/>
      <c r="J2530" s="196"/>
      <c r="K2530" s="196"/>
      <c r="L2530" s="196"/>
      <c r="M2530" s="196"/>
      <c r="N2530" s="196"/>
      <c r="O2530" s="196"/>
      <c r="P2530" s="196"/>
    </row>
    <row r="2531" spans="1:76" s="81" customFormat="1" ht="25.5" x14ac:dyDescent="0.25">
      <c r="A2531" s="66" t="s">
        <v>3499</v>
      </c>
      <c r="B2531" s="72" t="s">
        <v>55</v>
      </c>
      <c r="C2531" s="72" t="s">
        <v>3476</v>
      </c>
      <c r="D2531" s="174" t="s">
        <v>3477</v>
      </c>
      <c r="E2531" s="174"/>
      <c r="F2531" s="72" t="s">
        <v>1447</v>
      </c>
      <c r="G2531" s="91"/>
      <c r="H2531" s="91"/>
      <c r="I2531" s="92" t="s">
        <v>63</v>
      </c>
      <c r="J2531" s="90">
        <f>G2531*AO2531</f>
        <v>0</v>
      </c>
      <c r="K2531" s="90">
        <f>G2531*AP2531</f>
        <v>0</v>
      </c>
      <c r="L2531" s="90">
        <f>G2531*H2531</f>
        <v>0</v>
      </c>
      <c r="M2531" s="90">
        <f>L2531*(1+BW2531/100)</f>
        <v>0</v>
      </c>
      <c r="N2531" s="90">
        <v>0</v>
      </c>
      <c r="O2531" s="90">
        <f>G2531*N2531</f>
        <v>0</v>
      </c>
      <c r="P2531" s="92" t="s">
        <v>64</v>
      </c>
      <c r="Z2531" s="93">
        <f>IF(AQ2531="5",BJ2531,0)</f>
        <v>0</v>
      </c>
      <c r="AB2531" s="93">
        <f>IF(AQ2531="1",BH2531,0)</f>
        <v>0</v>
      </c>
      <c r="AC2531" s="93">
        <f>IF(AQ2531="1",BI2531,0)</f>
        <v>0</v>
      </c>
      <c r="AD2531" s="93">
        <f>IF(AQ2531="7",BH2531,0)</f>
        <v>0</v>
      </c>
      <c r="AE2531" s="93">
        <f>IF(AQ2531="7",BI2531,0)</f>
        <v>0</v>
      </c>
      <c r="AF2531" s="93">
        <f>IF(AQ2531="2",BH2531,0)</f>
        <v>0</v>
      </c>
      <c r="AG2531" s="93">
        <f>IF(AQ2531="2",BI2531,0)</f>
        <v>0</v>
      </c>
      <c r="AH2531" s="93">
        <f>IF(AQ2531="0",BJ2531,0)</f>
        <v>0</v>
      </c>
      <c r="AI2531" s="88" t="s">
        <v>55</v>
      </c>
      <c r="AJ2531" s="93">
        <f>IF(AN2531=0,L2531,0)</f>
        <v>0</v>
      </c>
      <c r="AK2531" s="93">
        <f>IF(AN2531=12,L2531,0)</f>
        <v>0</v>
      </c>
      <c r="AL2531" s="93">
        <f>IF(AN2531=21,L2531,0)</f>
        <v>0</v>
      </c>
      <c r="AN2531" s="93">
        <v>21</v>
      </c>
      <c r="AO2531" s="93">
        <f>H2531*0</f>
        <v>0</v>
      </c>
      <c r="AP2531" s="93">
        <f>H2531*(1-0)</f>
        <v>0</v>
      </c>
      <c r="AQ2531" s="94" t="s">
        <v>136</v>
      </c>
      <c r="AV2531" s="93">
        <f>AW2531+AX2531</f>
        <v>0</v>
      </c>
      <c r="AW2531" s="93">
        <f>G2531*AO2531</f>
        <v>0</v>
      </c>
      <c r="AX2531" s="93">
        <f>G2531*AP2531</f>
        <v>0</v>
      </c>
      <c r="AY2531" s="94" t="s">
        <v>3131</v>
      </c>
      <c r="AZ2531" s="94" t="s">
        <v>2927</v>
      </c>
      <c r="BA2531" s="88" t="s">
        <v>67</v>
      </c>
      <c r="BC2531" s="93">
        <f>AW2531+AX2531</f>
        <v>0</v>
      </c>
      <c r="BD2531" s="93">
        <f>H2531/(100-BE2531)*100</f>
        <v>0</v>
      </c>
      <c r="BE2531" s="93">
        <v>0</v>
      </c>
      <c r="BF2531" s="93">
        <f>O2531</f>
        <v>0</v>
      </c>
      <c r="BH2531" s="93">
        <f>G2531*AO2531</f>
        <v>0</v>
      </c>
      <c r="BI2531" s="93">
        <f>G2531*AP2531</f>
        <v>0</v>
      </c>
      <c r="BJ2531" s="93">
        <f>G2531*H2531</f>
        <v>0</v>
      </c>
      <c r="BK2531" s="93"/>
      <c r="BL2531" s="93"/>
      <c r="BW2531" s="93" t="str">
        <f>I2531</f>
        <v>21</v>
      </c>
      <c r="BX2531" s="2" t="s">
        <v>3477</v>
      </c>
    </row>
    <row r="2532" spans="1:76" s="81" customFormat="1" ht="25.5" x14ac:dyDescent="0.25">
      <c r="A2532" s="66" t="s">
        <v>3502</v>
      </c>
      <c r="B2532" s="72" t="s">
        <v>55</v>
      </c>
      <c r="C2532" s="72" t="s">
        <v>3479</v>
      </c>
      <c r="D2532" s="174" t="s">
        <v>3480</v>
      </c>
      <c r="E2532" s="174"/>
      <c r="F2532" s="72" t="s">
        <v>1332</v>
      </c>
      <c r="G2532" s="90">
        <v>8</v>
      </c>
      <c r="H2532" s="91"/>
      <c r="I2532" s="92" t="s">
        <v>63</v>
      </c>
      <c r="J2532" s="90">
        <f>G2532*AO2532</f>
        <v>0</v>
      </c>
      <c r="K2532" s="90">
        <f>G2532*AP2532</f>
        <v>0</v>
      </c>
      <c r="L2532" s="90">
        <f>G2532*H2532</f>
        <v>0</v>
      </c>
      <c r="M2532" s="90">
        <f>L2532*(1+BW2532/100)</f>
        <v>0</v>
      </c>
      <c r="N2532" s="90">
        <v>1.4500000000000001E-2</v>
      </c>
      <c r="O2532" s="90">
        <f>G2532*N2532</f>
        <v>0.11600000000000001</v>
      </c>
      <c r="P2532" s="92" t="s">
        <v>64</v>
      </c>
      <c r="Z2532" s="93">
        <f>IF(AQ2532="5",BJ2532,0)</f>
        <v>0</v>
      </c>
      <c r="AB2532" s="93">
        <f>IF(AQ2532="1",BH2532,0)</f>
        <v>0</v>
      </c>
      <c r="AC2532" s="93">
        <f>IF(AQ2532="1",BI2532,0)</f>
        <v>0</v>
      </c>
      <c r="AD2532" s="93">
        <f>IF(AQ2532="7",BH2532,0)</f>
        <v>0</v>
      </c>
      <c r="AE2532" s="93">
        <f>IF(AQ2532="7",BI2532,0)</f>
        <v>0</v>
      </c>
      <c r="AF2532" s="93">
        <f>IF(AQ2532="2",BH2532,0)</f>
        <v>0</v>
      </c>
      <c r="AG2532" s="93">
        <f>IF(AQ2532="2",BI2532,0)</f>
        <v>0</v>
      </c>
      <c r="AH2532" s="93">
        <f>IF(AQ2532="0",BJ2532,0)</f>
        <v>0</v>
      </c>
      <c r="AI2532" s="88" t="s">
        <v>55</v>
      </c>
      <c r="AJ2532" s="93">
        <f>IF(AN2532=0,L2532,0)</f>
        <v>0</v>
      </c>
      <c r="AK2532" s="93">
        <f>IF(AN2532=12,L2532,0)</f>
        <v>0</v>
      </c>
      <c r="AL2532" s="93">
        <f>IF(AN2532=21,L2532,0)</f>
        <v>0</v>
      </c>
      <c r="AN2532" s="93">
        <v>21</v>
      </c>
      <c r="AO2532" s="93">
        <f>H2532*0.914527961</f>
        <v>0</v>
      </c>
      <c r="AP2532" s="93">
        <f>H2532*(1-0.914527961)</f>
        <v>0</v>
      </c>
      <c r="AQ2532" s="94" t="s">
        <v>148</v>
      </c>
      <c r="AV2532" s="93">
        <f>AW2532+AX2532</f>
        <v>0</v>
      </c>
      <c r="AW2532" s="93">
        <f>G2532*AO2532</f>
        <v>0</v>
      </c>
      <c r="AX2532" s="93">
        <f>G2532*AP2532</f>
        <v>0</v>
      </c>
      <c r="AY2532" s="94" t="s">
        <v>3131</v>
      </c>
      <c r="AZ2532" s="94" t="s">
        <v>2927</v>
      </c>
      <c r="BA2532" s="88" t="s">
        <v>67</v>
      </c>
      <c r="BC2532" s="93">
        <f>AW2532+AX2532</f>
        <v>0</v>
      </c>
      <c r="BD2532" s="93">
        <f>H2532/(100-BE2532)*100</f>
        <v>0</v>
      </c>
      <c r="BE2532" s="93">
        <v>0</v>
      </c>
      <c r="BF2532" s="93">
        <f>O2532</f>
        <v>0.11600000000000001</v>
      </c>
      <c r="BH2532" s="93">
        <f>G2532*AO2532</f>
        <v>0</v>
      </c>
      <c r="BI2532" s="93">
        <f>G2532*AP2532</f>
        <v>0</v>
      </c>
      <c r="BJ2532" s="93">
        <f>G2532*H2532</f>
        <v>0</v>
      </c>
      <c r="BK2532" s="93"/>
      <c r="BL2532" s="93"/>
      <c r="BW2532" s="93" t="str">
        <f>I2532</f>
        <v>21</v>
      </c>
      <c r="BX2532" s="2" t="s">
        <v>3480</v>
      </c>
    </row>
    <row r="2533" spans="1:76" s="81" customFormat="1" ht="13.5" customHeight="1" x14ac:dyDescent="0.25">
      <c r="A2533" s="110"/>
      <c r="B2533" s="95"/>
      <c r="C2533" s="95"/>
      <c r="D2533" s="179" t="s">
        <v>3481</v>
      </c>
      <c r="E2533" s="179"/>
      <c r="F2533" s="179"/>
      <c r="G2533" s="179"/>
      <c r="H2533" s="179"/>
      <c r="I2533" s="179"/>
      <c r="J2533" s="179"/>
      <c r="K2533" s="179"/>
      <c r="L2533" s="179"/>
      <c r="M2533" s="179"/>
      <c r="N2533" s="179"/>
      <c r="O2533" s="179"/>
      <c r="P2533" s="179"/>
    </row>
    <row r="2534" spans="1:76" s="81" customFormat="1" ht="25.5" x14ac:dyDescent="0.25">
      <c r="A2534" s="66" t="s">
        <v>3505</v>
      </c>
      <c r="B2534" s="72" t="s">
        <v>55</v>
      </c>
      <c r="C2534" s="72" t="s">
        <v>3483</v>
      </c>
      <c r="D2534" s="174" t="s">
        <v>3484</v>
      </c>
      <c r="E2534" s="174"/>
      <c r="F2534" s="72" t="s">
        <v>1332</v>
      </c>
      <c r="G2534" s="90">
        <v>3</v>
      </c>
      <c r="H2534" s="91"/>
      <c r="I2534" s="92" t="s">
        <v>63</v>
      </c>
      <c r="J2534" s="90">
        <f>G2534*AO2534</f>
        <v>0</v>
      </c>
      <c r="K2534" s="90">
        <f>G2534*AP2534</f>
        <v>0</v>
      </c>
      <c r="L2534" s="90">
        <f>G2534*H2534</f>
        <v>0</v>
      </c>
      <c r="M2534" s="90">
        <f>L2534*(1+BW2534/100)</f>
        <v>0</v>
      </c>
      <c r="N2534" s="90">
        <v>8.9999999999999993E-3</v>
      </c>
      <c r="O2534" s="90">
        <f>G2534*N2534</f>
        <v>2.6999999999999996E-2</v>
      </c>
      <c r="P2534" s="92" t="s">
        <v>64</v>
      </c>
      <c r="Z2534" s="93">
        <f>IF(AQ2534="5",BJ2534,0)</f>
        <v>0</v>
      </c>
      <c r="AB2534" s="93">
        <f>IF(AQ2534="1",BH2534,0)</f>
        <v>0</v>
      </c>
      <c r="AC2534" s="93">
        <f>IF(AQ2534="1",BI2534,0)</f>
        <v>0</v>
      </c>
      <c r="AD2534" s="93">
        <f>IF(AQ2534="7",BH2534,0)</f>
        <v>0</v>
      </c>
      <c r="AE2534" s="93">
        <f>IF(AQ2534="7",BI2534,0)</f>
        <v>0</v>
      </c>
      <c r="AF2534" s="93">
        <f>IF(AQ2534="2",BH2534,0)</f>
        <v>0</v>
      </c>
      <c r="AG2534" s="93">
        <f>IF(AQ2534="2",BI2534,0)</f>
        <v>0</v>
      </c>
      <c r="AH2534" s="93">
        <f>IF(AQ2534="0",BJ2534,0)</f>
        <v>0</v>
      </c>
      <c r="AI2534" s="88" t="s">
        <v>55</v>
      </c>
      <c r="AJ2534" s="93">
        <f>IF(AN2534=0,L2534,0)</f>
        <v>0</v>
      </c>
      <c r="AK2534" s="93">
        <f>IF(AN2534=12,L2534,0)</f>
        <v>0</v>
      </c>
      <c r="AL2534" s="93">
        <f>IF(AN2534=21,L2534,0)</f>
        <v>0</v>
      </c>
      <c r="AN2534" s="93">
        <v>21</v>
      </c>
      <c r="AO2534" s="93">
        <f>H2534*0.88710549</f>
        <v>0</v>
      </c>
      <c r="AP2534" s="93">
        <f>H2534*(1-0.88710549)</f>
        <v>0</v>
      </c>
      <c r="AQ2534" s="94" t="s">
        <v>148</v>
      </c>
      <c r="AV2534" s="93">
        <f>AW2534+AX2534</f>
        <v>0</v>
      </c>
      <c r="AW2534" s="93">
        <f>G2534*AO2534</f>
        <v>0</v>
      </c>
      <c r="AX2534" s="93">
        <f>G2534*AP2534</f>
        <v>0</v>
      </c>
      <c r="AY2534" s="94" t="s">
        <v>3131</v>
      </c>
      <c r="AZ2534" s="94" t="s">
        <v>2927</v>
      </c>
      <c r="BA2534" s="88" t="s">
        <v>67</v>
      </c>
      <c r="BC2534" s="93">
        <f>AW2534+AX2534</f>
        <v>0</v>
      </c>
      <c r="BD2534" s="93">
        <f>H2534/(100-BE2534)*100</f>
        <v>0</v>
      </c>
      <c r="BE2534" s="93">
        <v>0</v>
      </c>
      <c r="BF2534" s="93">
        <f>O2534</f>
        <v>2.6999999999999996E-2</v>
      </c>
      <c r="BH2534" s="93">
        <f>G2534*AO2534</f>
        <v>0</v>
      </c>
      <c r="BI2534" s="93">
        <f>G2534*AP2534</f>
        <v>0</v>
      </c>
      <c r="BJ2534" s="93">
        <f>G2534*H2534</f>
        <v>0</v>
      </c>
      <c r="BK2534" s="93"/>
      <c r="BL2534" s="93"/>
      <c r="BW2534" s="93" t="str">
        <f>I2534</f>
        <v>21</v>
      </c>
      <c r="BX2534" s="2" t="s">
        <v>3484</v>
      </c>
    </row>
    <row r="2535" spans="1:76" s="81" customFormat="1" ht="25.5" x14ac:dyDescent="0.25">
      <c r="A2535" s="66" t="s">
        <v>3508</v>
      </c>
      <c r="B2535" s="72" t="s">
        <v>55</v>
      </c>
      <c r="C2535" s="72" t="s">
        <v>3486</v>
      </c>
      <c r="D2535" s="174" t="s">
        <v>3487</v>
      </c>
      <c r="E2535" s="174"/>
      <c r="F2535" s="72" t="s">
        <v>1447</v>
      </c>
      <c r="G2535" s="91"/>
      <c r="H2535" s="91"/>
      <c r="I2535" s="92" t="s">
        <v>63</v>
      </c>
      <c r="J2535" s="90">
        <f>G2535*AO2535</f>
        <v>0</v>
      </c>
      <c r="K2535" s="90">
        <f>G2535*AP2535</f>
        <v>0</v>
      </c>
      <c r="L2535" s="90">
        <f>G2535*H2535</f>
        <v>0</v>
      </c>
      <c r="M2535" s="90">
        <f>L2535*(1+BW2535/100)</f>
        <v>0</v>
      </c>
      <c r="N2535" s="90">
        <v>0</v>
      </c>
      <c r="O2535" s="90">
        <f>G2535*N2535</f>
        <v>0</v>
      </c>
      <c r="P2535" s="92" t="s">
        <v>64</v>
      </c>
      <c r="Z2535" s="93">
        <f>IF(AQ2535="5",BJ2535,0)</f>
        <v>0</v>
      </c>
      <c r="AB2535" s="93">
        <f>IF(AQ2535="1",BH2535,0)</f>
        <v>0</v>
      </c>
      <c r="AC2535" s="93">
        <f>IF(AQ2535="1",BI2535,0)</f>
        <v>0</v>
      </c>
      <c r="AD2535" s="93">
        <f>IF(AQ2535="7",BH2535,0)</f>
        <v>0</v>
      </c>
      <c r="AE2535" s="93">
        <f>IF(AQ2535="7",BI2535,0)</f>
        <v>0</v>
      </c>
      <c r="AF2535" s="93">
        <f>IF(AQ2535="2",BH2535,0)</f>
        <v>0</v>
      </c>
      <c r="AG2535" s="93">
        <f>IF(AQ2535="2",BI2535,0)</f>
        <v>0</v>
      </c>
      <c r="AH2535" s="93">
        <f>IF(AQ2535="0",BJ2535,0)</f>
        <v>0</v>
      </c>
      <c r="AI2535" s="88" t="s">
        <v>55</v>
      </c>
      <c r="AJ2535" s="93">
        <f>IF(AN2535=0,L2535,0)</f>
        <v>0</v>
      </c>
      <c r="AK2535" s="93">
        <f>IF(AN2535=12,L2535,0)</f>
        <v>0</v>
      </c>
      <c r="AL2535" s="93">
        <f>IF(AN2535=21,L2535,0)</f>
        <v>0</v>
      </c>
      <c r="AN2535" s="93">
        <v>21</v>
      </c>
      <c r="AO2535" s="93">
        <f>H2535*0</f>
        <v>0</v>
      </c>
      <c r="AP2535" s="93">
        <f>H2535*(1-0)</f>
        <v>0</v>
      </c>
      <c r="AQ2535" s="94" t="s">
        <v>136</v>
      </c>
      <c r="AV2535" s="93">
        <f>AW2535+AX2535</f>
        <v>0</v>
      </c>
      <c r="AW2535" s="93">
        <f>G2535*AO2535</f>
        <v>0</v>
      </c>
      <c r="AX2535" s="93">
        <f>G2535*AP2535</f>
        <v>0</v>
      </c>
      <c r="AY2535" s="94" t="s">
        <v>3131</v>
      </c>
      <c r="AZ2535" s="94" t="s">
        <v>2927</v>
      </c>
      <c r="BA2535" s="88" t="s">
        <v>67</v>
      </c>
      <c r="BC2535" s="93">
        <f>AW2535+AX2535</f>
        <v>0</v>
      </c>
      <c r="BD2535" s="93">
        <f>H2535/(100-BE2535)*100</f>
        <v>0</v>
      </c>
      <c r="BE2535" s="93">
        <v>0</v>
      </c>
      <c r="BF2535" s="93">
        <f>O2535</f>
        <v>0</v>
      </c>
      <c r="BH2535" s="93">
        <f>G2535*AO2535</f>
        <v>0</v>
      </c>
      <c r="BI2535" s="93">
        <f>G2535*AP2535</f>
        <v>0</v>
      </c>
      <c r="BJ2535" s="93">
        <f>G2535*H2535</f>
        <v>0</v>
      </c>
      <c r="BK2535" s="93"/>
      <c r="BL2535" s="93"/>
      <c r="BW2535" s="93" t="str">
        <f>I2535</f>
        <v>21</v>
      </c>
      <c r="BX2535" s="2" t="s">
        <v>3487</v>
      </c>
    </row>
    <row r="2536" spans="1:76" s="81" customFormat="1" x14ac:dyDescent="0.25">
      <c r="A2536" s="108" t="s">
        <v>54</v>
      </c>
      <c r="B2536" s="73" t="s">
        <v>55</v>
      </c>
      <c r="C2536" s="73" t="s">
        <v>54</v>
      </c>
      <c r="D2536" s="184" t="s">
        <v>3488</v>
      </c>
      <c r="E2536" s="184"/>
      <c r="F2536" s="82" t="s">
        <v>4</v>
      </c>
      <c r="G2536" s="82" t="s">
        <v>4</v>
      </c>
      <c r="H2536" s="82" t="s">
        <v>4</v>
      </c>
      <c r="I2536" s="82" t="s">
        <v>4</v>
      </c>
      <c r="J2536" s="83">
        <f>J2537</f>
        <v>0</v>
      </c>
      <c r="K2536" s="83">
        <f>K2537</f>
        <v>0</v>
      </c>
      <c r="L2536" s="83">
        <f>L2537</f>
        <v>0</v>
      </c>
      <c r="M2536" s="83">
        <f>M2537</f>
        <v>0</v>
      </c>
      <c r="N2536" s="84" t="s">
        <v>54</v>
      </c>
      <c r="O2536" s="83">
        <f>O2537</f>
        <v>0</v>
      </c>
      <c r="P2536" s="84" t="s">
        <v>54</v>
      </c>
    </row>
    <row r="2537" spans="1:76" s="81" customFormat="1" x14ac:dyDescent="0.25">
      <c r="A2537" s="109" t="s">
        <v>54</v>
      </c>
      <c r="B2537" s="74" t="s">
        <v>55</v>
      </c>
      <c r="C2537" s="74" t="s">
        <v>3489</v>
      </c>
      <c r="D2537" s="180" t="s">
        <v>3490</v>
      </c>
      <c r="E2537" s="180"/>
      <c r="F2537" s="85" t="s">
        <v>4</v>
      </c>
      <c r="G2537" s="85" t="s">
        <v>4</v>
      </c>
      <c r="H2537" s="85" t="s">
        <v>4</v>
      </c>
      <c r="I2537" s="85" t="s">
        <v>4</v>
      </c>
      <c r="J2537" s="86">
        <f>SUM(J2538:J2716)</f>
        <v>0</v>
      </c>
      <c r="K2537" s="86">
        <f>SUM(K2538:K2716)</f>
        <v>0</v>
      </c>
      <c r="L2537" s="86">
        <f>SUM(L2538:L2716)</f>
        <v>0</v>
      </c>
      <c r="M2537" s="86">
        <f>SUM(M2538:M2716)</f>
        <v>0</v>
      </c>
      <c r="N2537" s="87" t="s">
        <v>54</v>
      </c>
      <c r="O2537" s="86">
        <f>SUM(O2538:O2716)</f>
        <v>0</v>
      </c>
      <c r="P2537" s="87" t="s">
        <v>54</v>
      </c>
      <c r="AI2537" s="88" t="s">
        <v>55</v>
      </c>
      <c r="AS2537" s="89">
        <f>SUM(AJ2538:AJ2716)</f>
        <v>0</v>
      </c>
      <c r="AT2537" s="89">
        <f>SUM(AK2538:AK2716)</f>
        <v>0</v>
      </c>
      <c r="AU2537" s="89">
        <f>SUM(AL2538:AL2716)</f>
        <v>0</v>
      </c>
    </row>
    <row r="2538" spans="1:76" s="81" customFormat="1" ht="25.5" x14ac:dyDescent="0.25">
      <c r="A2538" s="66" t="s">
        <v>3511</v>
      </c>
      <c r="B2538" s="72" t="s">
        <v>55</v>
      </c>
      <c r="C2538" s="72" t="s">
        <v>3492</v>
      </c>
      <c r="D2538" s="174" t="s">
        <v>3493</v>
      </c>
      <c r="E2538" s="174"/>
      <c r="F2538" s="72" t="s">
        <v>213</v>
      </c>
      <c r="G2538" s="90">
        <v>1840</v>
      </c>
      <c r="H2538" s="91"/>
      <c r="I2538" s="92" t="s">
        <v>63</v>
      </c>
      <c r="J2538" s="90">
        <f t="shared" ref="J2538:J2569" si="569">G2538*AO2538</f>
        <v>0</v>
      </c>
      <c r="K2538" s="90">
        <f t="shared" ref="K2538:K2569" si="570">G2538*AP2538</f>
        <v>0</v>
      </c>
      <c r="L2538" s="90">
        <f t="shared" ref="L2538:L2569" si="571">G2538*H2538</f>
        <v>0</v>
      </c>
      <c r="M2538" s="90">
        <f t="shared" ref="M2538:M2569" si="572">L2538*(1+BW2538/100)</f>
        <v>0</v>
      </c>
      <c r="N2538" s="90">
        <v>0</v>
      </c>
      <c r="O2538" s="90">
        <f t="shared" ref="O2538:O2569" si="573">G2538*N2538</f>
        <v>0</v>
      </c>
      <c r="P2538" s="92" t="s">
        <v>1647</v>
      </c>
      <c r="Z2538" s="93">
        <f t="shared" ref="Z2538:Z2569" si="574">IF(AQ2538="5",BJ2538,0)</f>
        <v>0</v>
      </c>
      <c r="AB2538" s="93">
        <f t="shared" ref="AB2538:AB2569" si="575">IF(AQ2538="1",BH2538,0)</f>
        <v>0</v>
      </c>
      <c r="AC2538" s="93">
        <f t="shared" ref="AC2538:AC2569" si="576">IF(AQ2538="1",BI2538,0)</f>
        <v>0</v>
      </c>
      <c r="AD2538" s="93">
        <f t="shared" ref="AD2538:AD2569" si="577">IF(AQ2538="7",BH2538,0)</f>
        <v>0</v>
      </c>
      <c r="AE2538" s="93">
        <f t="shared" ref="AE2538:AE2569" si="578">IF(AQ2538="7",BI2538,0)</f>
        <v>0</v>
      </c>
      <c r="AF2538" s="93">
        <f t="shared" ref="AF2538:AF2569" si="579">IF(AQ2538="2",BH2538,0)</f>
        <v>0</v>
      </c>
      <c r="AG2538" s="93">
        <f t="shared" ref="AG2538:AG2569" si="580">IF(AQ2538="2",BI2538,0)</f>
        <v>0</v>
      </c>
      <c r="AH2538" s="93">
        <f t="shared" ref="AH2538:AH2569" si="581">IF(AQ2538="0",BJ2538,0)</f>
        <v>0</v>
      </c>
      <c r="AI2538" s="88" t="s">
        <v>55</v>
      </c>
      <c r="AJ2538" s="93">
        <f t="shared" ref="AJ2538:AJ2569" si="582">IF(AN2538=0,L2538,0)</f>
        <v>0</v>
      </c>
      <c r="AK2538" s="93">
        <f t="shared" ref="AK2538:AK2569" si="583">IF(AN2538=12,L2538,0)</f>
        <v>0</v>
      </c>
      <c r="AL2538" s="93">
        <f t="shared" ref="AL2538:AL2569" si="584">IF(AN2538=21,L2538,0)</f>
        <v>0</v>
      </c>
      <c r="AN2538" s="93">
        <v>21</v>
      </c>
      <c r="AO2538" s="93">
        <f t="shared" ref="AO2538:AO2569" si="585">H2538*0</f>
        <v>0</v>
      </c>
      <c r="AP2538" s="93">
        <f t="shared" ref="AP2538:AP2569" si="586">H2538*(1-0)</f>
        <v>0</v>
      </c>
      <c r="AQ2538" s="94" t="s">
        <v>118</v>
      </c>
      <c r="AV2538" s="93">
        <f t="shared" ref="AV2538:AV2569" si="587">AW2538+AX2538</f>
        <v>0</v>
      </c>
      <c r="AW2538" s="93">
        <f t="shared" ref="AW2538:AW2569" si="588">G2538*AO2538</f>
        <v>0</v>
      </c>
      <c r="AX2538" s="93">
        <f t="shared" ref="AX2538:AX2569" si="589">G2538*AP2538</f>
        <v>0</v>
      </c>
      <c r="AY2538" s="94" t="s">
        <v>3494</v>
      </c>
      <c r="AZ2538" s="94" t="s">
        <v>3495</v>
      </c>
      <c r="BA2538" s="88" t="s">
        <v>67</v>
      </c>
      <c r="BC2538" s="93">
        <f t="shared" ref="BC2538:BC2569" si="590">AW2538+AX2538</f>
        <v>0</v>
      </c>
      <c r="BD2538" s="93">
        <f t="shared" ref="BD2538:BD2569" si="591">H2538/(100-BE2538)*100</f>
        <v>0</v>
      </c>
      <c r="BE2538" s="93">
        <v>0</v>
      </c>
      <c r="BF2538" s="93">
        <f t="shared" ref="BF2538:BF2569" si="592">O2538</f>
        <v>0</v>
      </c>
      <c r="BH2538" s="93">
        <f t="shared" ref="BH2538:BH2569" si="593">G2538*AO2538</f>
        <v>0</v>
      </c>
      <c r="BI2538" s="93">
        <f t="shared" ref="BI2538:BI2569" si="594">G2538*AP2538</f>
        <v>0</v>
      </c>
      <c r="BJ2538" s="93">
        <f t="shared" ref="BJ2538:BJ2569" si="595">G2538*H2538</f>
        <v>0</v>
      </c>
      <c r="BK2538" s="93"/>
      <c r="BL2538" s="93"/>
      <c r="BW2538" s="93" t="str">
        <f t="shared" ref="BW2538:BW2569" si="596">I2538</f>
        <v>21</v>
      </c>
      <c r="BX2538" s="2" t="s">
        <v>3493</v>
      </c>
    </row>
    <row r="2539" spans="1:76" s="81" customFormat="1" ht="25.5" x14ac:dyDescent="0.25">
      <c r="A2539" s="66" t="s">
        <v>3515</v>
      </c>
      <c r="B2539" s="72" t="s">
        <v>55</v>
      </c>
      <c r="C2539" s="72" t="s">
        <v>3497</v>
      </c>
      <c r="D2539" s="174" t="s">
        <v>3498</v>
      </c>
      <c r="E2539" s="174"/>
      <c r="F2539" s="72" t="s">
        <v>213</v>
      </c>
      <c r="G2539" s="90">
        <v>500</v>
      </c>
      <c r="H2539" s="91"/>
      <c r="I2539" s="92" t="s">
        <v>63</v>
      </c>
      <c r="J2539" s="90">
        <f t="shared" si="569"/>
        <v>0</v>
      </c>
      <c r="K2539" s="90">
        <f t="shared" si="570"/>
        <v>0</v>
      </c>
      <c r="L2539" s="90">
        <f t="shared" si="571"/>
        <v>0</v>
      </c>
      <c r="M2539" s="90">
        <f t="shared" si="572"/>
        <v>0</v>
      </c>
      <c r="N2539" s="90">
        <v>0</v>
      </c>
      <c r="O2539" s="90">
        <f t="shared" si="573"/>
        <v>0</v>
      </c>
      <c r="P2539" s="92" t="s">
        <v>1647</v>
      </c>
      <c r="Z2539" s="93">
        <f t="shared" si="574"/>
        <v>0</v>
      </c>
      <c r="AB2539" s="93">
        <f t="shared" si="575"/>
        <v>0</v>
      </c>
      <c r="AC2539" s="93">
        <f t="shared" si="576"/>
        <v>0</v>
      </c>
      <c r="AD2539" s="93">
        <f t="shared" si="577"/>
        <v>0</v>
      </c>
      <c r="AE2539" s="93">
        <f t="shared" si="578"/>
        <v>0</v>
      </c>
      <c r="AF2539" s="93">
        <f t="shared" si="579"/>
        <v>0</v>
      </c>
      <c r="AG2539" s="93">
        <f t="shared" si="580"/>
        <v>0</v>
      </c>
      <c r="AH2539" s="93">
        <f t="shared" si="581"/>
        <v>0</v>
      </c>
      <c r="AI2539" s="88" t="s">
        <v>55</v>
      </c>
      <c r="AJ2539" s="93">
        <f t="shared" si="582"/>
        <v>0</v>
      </c>
      <c r="AK2539" s="93">
        <f t="shared" si="583"/>
        <v>0</v>
      </c>
      <c r="AL2539" s="93">
        <f t="shared" si="584"/>
        <v>0</v>
      </c>
      <c r="AN2539" s="93">
        <v>21</v>
      </c>
      <c r="AO2539" s="93">
        <f t="shared" si="585"/>
        <v>0</v>
      </c>
      <c r="AP2539" s="93">
        <f t="shared" si="586"/>
        <v>0</v>
      </c>
      <c r="AQ2539" s="94" t="s">
        <v>118</v>
      </c>
      <c r="AV2539" s="93">
        <f t="shared" si="587"/>
        <v>0</v>
      </c>
      <c r="AW2539" s="93">
        <f t="shared" si="588"/>
        <v>0</v>
      </c>
      <c r="AX2539" s="93">
        <f t="shared" si="589"/>
        <v>0</v>
      </c>
      <c r="AY2539" s="94" t="s">
        <v>3494</v>
      </c>
      <c r="AZ2539" s="94" t="s">
        <v>3495</v>
      </c>
      <c r="BA2539" s="88" t="s">
        <v>67</v>
      </c>
      <c r="BC2539" s="93">
        <f t="shared" si="590"/>
        <v>0</v>
      </c>
      <c r="BD2539" s="93">
        <f t="shared" si="591"/>
        <v>0</v>
      </c>
      <c r="BE2539" s="93">
        <v>0</v>
      </c>
      <c r="BF2539" s="93">
        <f t="shared" si="592"/>
        <v>0</v>
      </c>
      <c r="BH2539" s="93">
        <f t="shared" si="593"/>
        <v>0</v>
      </c>
      <c r="BI2539" s="93">
        <f t="shared" si="594"/>
        <v>0</v>
      </c>
      <c r="BJ2539" s="93">
        <f t="shared" si="595"/>
        <v>0</v>
      </c>
      <c r="BK2539" s="93"/>
      <c r="BL2539" s="93"/>
      <c r="BW2539" s="93" t="str">
        <f t="shared" si="596"/>
        <v>21</v>
      </c>
      <c r="BX2539" s="2" t="s">
        <v>3498</v>
      </c>
    </row>
    <row r="2540" spans="1:76" s="81" customFormat="1" ht="25.5" x14ac:dyDescent="0.25">
      <c r="A2540" s="66" t="s">
        <v>3518</v>
      </c>
      <c r="B2540" s="72" t="s">
        <v>55</v>
      </c>
      <c r="C2540" s="72" t="s">
        <v>3500</v>
      </c>
      <c r="D2540" s="174" t="s">
        <v>3501</v>
      </c>
      <c r="E2540" s="174"/>
      <c r="F2540" s="72" t="s">
        <v>213</v>
      </c>
      <c r="G2540" s="90">
        <v>800</v>
      </c>
      <c r="H2540" s="91"/>
      <c r="I2540" s="92" t="s">
        <v>63</v>
      </c>
      <c r="J2540" s="90">
        <f t="shared" si="569"/>
        <v>0</v>
      </c>
      <c r="K2540" s="90">
        <f t="shared" si="570"/>
        <v>0</v>
      </c>
      <c r="L2540" s="90">
        <f t="shared" si="571"/>
        <v>0</v>
      </c>
      <c r="M2540" s="90">
        <f t="shared" si="572"/>
        <v>0</v>
      </c>
      <c r="N2540" s="90">
        <v>0</v>
      </c>
      <c r="O2540" s="90">
        <f t="shared" si="573"/>
        <v>0</v>
      </c>
      <c r="P2540" s="92" t="s">
        <v>1647</v>
      </c>
      <c r="Z2540" s="93">
        <f t="shared" si="574"/>
        <v>0</v>
      </c>
      <c r="AB2540" s="93">
        <f t="shared" si="575"/>
        <v>0</v>
      </c>
      <c r="AC2540" s="93">
        <f t="shared" si="576"/>
        <v>0</v>
      </c>
      <c r="AD2540" s="93">
        <f t="shared" si="577"/>
        <v>0</v>
      </c>
      <c r="AE2540" s="93">
        <f t="shared" si="578"/>
        <v>0</v>
      </c>
      <c r="AF2540" s="93">
        <f t="shared" si="579"/>
        <v>0</v>
      </c>
      <c r="AG2540" s="93">
        <f t="shared" si="580"/>
        <v>0</v>
      </c>
      <c r="AH2540" s="93">
        <f t="shared" si="581"/>
        <v>0</v>
      </c>
      <c r="AI2540" s="88" t="s">
        <v>55</v>
      </c>
      <c r="AJ2540" s="93">
        <f t="shared" si="582"/>
        <v>0</v>
      </c>
      <c r="AK2540" s="93">
        <f t="shared" si="583"/>
        <v>0</v>
      </c>
      <c r="AL2540" s="93">
        <f t="shared" si="584"/>
        <v>0</v>
      </c>
      <c r="AN2540" s="93">
        <v>21</v>
      </c>
      <c r="AO2540" s="93">
        <f t="shared" si="585"/>
        <v>0</v>
      </c>
      <c r="AP2540" s="93">
        <f t="shared" si="586"/>
        <v>0</v>
      </c>
      <c r="AQ2540" s="94" t="s">
        <v>118</v>
      </c>
      <c r="AV2540" s="93">
        <f t="shared" si="587"/>
        <v>0</v>
      </c>
      <c r="AW2540" s="93">
        <f t="shared" si="588"/>
        <v>0</v>
      </c>
      <c r="AX2540" s="93">
        <f t="shared" si="589"/>
        <v>0</v>
      </c>
      <c r="AY2540" s="94" t="s">
        <v>3494</v>
      </c>
      <c r="AZ2540" s="94" t="s">
        <v>3495</v>
      </c>
      <c r="BA2540" s="88" t="s">
        <v>67</v>
      </c>
      <c r="BC2540" s="93">
        <f t="shared" si="590"/>
        <v>0</v>
      </c>
      <c r="BD2540" s="93">
        <f t="shared" si="591"/>
        <v>0</v>
      </c>
      <c r="BE2540" s="93">
        <v>0</v>
      </c>
      <c r="BF2540" s="93">
        <f t="shared" si="592"/>
        <v>0</v>
      </c>
      <c r="BH2540" s="93">
        <f t="shared" si="593"/>
        <v>0</v>
      </c>
      <c r="BI2540" s="93">
        <f t="shared" si="594"/>
        <v>0</v>
      </c>
      <c r="BJ2540" s="93">
        <f t="shared" si="595"/>
        <v>0</v>
      </c>
      <c r="BK2540" s="93"/>
      <c r="BL2540" s="93"/>
      <c r="BW2540" s="93" t="str">
        <f t="shared" si="596"/>
        <v>21</v>
      </c>
      <c r="BX2540" s="2" t="s">
        <v>3501</v>
      </c>
    </row>
    <row r="2541" spans="1:76" s="81" customFormat="1" ht="25.5" x14ac:dyDescent="0.25">
      <c r="A2541" s="66" t="s">
        <v>3521</v>
      </c>
      <c r="B2541" s="72" t="s">
        <v>55</v>
      </c>
      <c r="C2541" s="72" t="s">
        <v>3503</v>
      </c>
      <c r="D2541" s="174" t="s">
        <v>3504</v>
      </c>
      <c r="E2541" s="174"/>
      <c r="F2541" s="72" t="s">
        <v>213</v>
      </c>
      <c r="G2541" s="90">
        <v>90</v>
      </c>
      <c r="H2541" s="91"/>
      <c r="I2541" s="92" t="s">
        <v>63</v>
      </c>
      <c r="J2541" s="90">
        <f t="shared" si="569"/>
        <v>0</v>
      </c>
      <c r="K2541" s="90">
        <f t="shared" si="570"/>
        <v>0</v>
      </c>
      <c r="L2541" s="90">
        <f t="shared" si="571"/>
        <v>0</v>
      </c>
      <c r="M2541" s="90">
        <f t="shared" si="572"/>
        <v>0</v>
      </c>
      <c r="N2541" s="90">
        <v>0</v>
      </c>
      <c r="O2541" s="90">
        <f t="shared" si="573"/>
        <v>0</v>
      </c>
      <c r="P2541" s="92" t="s">
        <v>1647</v>
      </c>
      <c r="Z2541" s="93">
        <f t="shared" si="574"/>
        <v>0</v>
      </c>
      <c r="AB2541" s="93">
        <f t="shared" si="575"/>
        <v>0</v>
      </c>
      <c r="AC2541" s="93">
        <f t="shared" si="576"/>
        <v>0</v>
      </c>
      <c r="AD2541" s="93">
        <f t="shared" si="577"/>
        <v>0</v>
      </c>
      <c r="AE2541" s="93">
        <f t="shared" si="578"/>
        <v>0</v>
      </c>
      <c r="AF2541" s="93">
        <f t="shared" si="579"/>
        <v>0</v>
      </c>
      <c r="AG2541" s="93">
        <f t="shared" si="580"/>
        <v>0</v>
      </c>
      <c r="AH2541" s="93">
        <f t="shared" si="581"/>
        <v>0</v>
      </c>
      <c r="AI2541" s="88" t="s">
        <v>55</v>
      </c>
      <c r="AJ2541" s="93">
        <f t="shared" si="582"/>
        <v>0</v>
      </c>
      <c r="AK2541" s="93">
        <f t="shared" si="583"/>
        <v>0</v>
      </c>
      <c r="AL2541" s="93">
        <f t="shared" si="584"/>
        <v>0</v>
      </c>
      <c r="AN2541" s="93">
        <v>21</v>
      </c>
      <c r="AO2541" s="93">
        <f t="shared" si="585"/>
        <v>0</v>
      </c>
      <c r="AP2541" s="93">
        <f t="shared" si="586"/>
        <v>0</v>
      </c>
      <c r="AQ2541" s="94" t="s">
        <v>118</v>
      </c>
      <c r="AV2541" s="93">
        <f t="shared" si="587"/>
        <v>0</v>
      </c>
      <c r="AW2541" s="93">
        <f t="shared" si="588"/>
        <v>0</v>
      </c>
      <c r="AX2541" s="93">
        <f t="shared" si="589"/>
        <v>0</v>
      </c>
      <c r="AY2541" s="94" t="s">
        <v>3494</v>
      </c>
      <c r="AZ2541" s="94" t="s">
        <v>3495</v>
      </c>
      <c r="BA2541" s="88" t="s">
        <v>67</v>
      </c>
      <c r="BC2541" s="93">
        <f t="shared" si="590"/>
        <v>0</v>
      </c>
      <c r="BD2541" s="93">
        <f t="shared" si="591"/>
        <v>0</v>
      </c>
      <c r="BE2541" s="93">
        <v>0</v>
      </c>
      <c r="BF2541" s="93">
        <f t="shared" si="592"/>
        <v>0</v>
      </c>
      <c r="BH2541" s="93">
        <f t="shared" si="593"/>
        <v>0</v>
      </c>
      <c r="BI2541" s="93">
        <f t="shared" si="594"/>
        <v>0</v>
      </c>
      <c r="BJ2541" s="93">
        <f t="shared" si="595"/>
        <v>0</v>
      </c>
      <c r="BK2541" s="93"/>
      <c r="BL2541" s="93"/>
      <c r="BW2541" s="93" t="str">
        <f t="shared" si="596"/>
        <v>21</v>
      </c>
      <c r="BX2541" s="2" t="s">
        <v>3504</v>
      </c>
    </row>
    <row r="2542" spans="1:76" s="81" customFormat="1" ht="25.5" x14ac:dyDescent="0.25">
      <c r="A2542" s="66" t="s">
        <v>3524</v>
      </c>
      <c r="B2542" s="72" t="s">
        <v>55</v>
      </c>
      <c r="C2542" s="72" t="s">
        <v>3506</v>
      </c>
      <c r="D2542" s="174" t="s">
        <v>3507</v>
      </c>
      <c r="E2542" s="174"/>
      <c r="F2542" s="72" t="s">
        <v>213</v>
      </c>
      <c r="G2542" s="90">
        <v>60</v>
      </c>
      <c r="H2542" s="91"/>
      <c r="I2542" s="92" t="s">
        <v>63</v>
      </c>
      <c r="J2542" s="90">
        <f t="shared" si="569"/>
        <v>0</v>
      </c>
      <c r="K2542" s="90">
        <f t="shared" si="570"/>
        <v>0</v>
      </c>
      <c r="L2542" s="90">
        <f t="shared" si="571"/>
        <v>0</v>
      </c>
      <c r="M2542" s="90">
        <f t="shared" si="572"/>
        <v>0</v>
      </c>
      <c r="N2542" s="90">
        <v>0</v>
      </c>
      <c r="O2542" s="90">
        <f t="shared" si="573"/>
        <v>0</v>
      </c>
      <c r="P2542" s="92" t="s">
        <v>1647</v>
      </c>
      <c r="Z2542" s="93">
        <f t="shared" si="574"/>
        <v>0</v>
      </c>
      <c r="AB2542" s="93">
        <f t="shared" si="575"/>
        <v>0</v>
      </c>
      <c r="AC2542" s="93">
        <f t="shared" si="576"/>
        <v>0</v>
      </c>
      <c r="AD2542" s="93">
        <f t="shared" si="577"/>
        <v>0</v>
      </c>
      <c r="AE2542" s="93">
        <f t="shared" si="578"/>
        <v>0</v>
      </c>
      <c r="AF2542" s="93">
        <f t="shared" si="579"/>
        <v>0</v>
      </c>
      <c r="AG2542" s="93">
        <f t="shared" si="580"/>
        <v>0</v>
      </c>
      <c r="AH2542" s="93">
        <f t="shared" si="581"/>
        <v>0</v>
      </c>
      <c r="AI2542" s="88" t="s">
        <v>55</v>
      </c>
      <c r="AJ2542" s="93">
        <f t="shared" si="582"/>
        <v>0</v>
      </c>
      <c r="AK2542" s="93">
        <f t="shared" si="583"/>
        <v>0</v>
      </c>
      <c r="AL2542" s="93">
        <f t="shared" si="584"/>
        <v>0</v>
      </c>
      <c r="AN2542" s="93">
        <v>21</v>
      </c>
      <c r="AO2542" s="93">
        <f t="shared" si="585"/>
        <v>0</v>
      </c>
      <c r="AP2542" s="93">
        <f t="shared" si="586"/>
        <v>0</v>
      </c>
      <c r="AQ2542" s="94" t="s">
        <v>118</v>
      </c>
      <c r="AV2542" s="93">
        <f t="shared" si="587"/>
        <v>0</v>
      </c>
      <c r="AW2542" s="93">
        <f t="shared" si="588"/>
        <v>0</v>
      </c>
      <c r="AX2542" s="93">
        <f t="shared" si="589"/>
        <v>0</v>
      </c>
      <c r="AY2542" s="94" t="s">
        <v>3494</v>
      </c>
      <c r="AZ2542" s="94" t="s">
        <v>3495</v>
      </c>
      <c r="BA2542" s="88" t="s">
        <v>67</v>
      </c>
      <c r="BC2542" s="93">
        <f t="shared" si="590"/>
        <v>0</v>
      </c>
      <c r="BD2542" s="93">
        <f t="shared" si="591"/>
        <v>0</v>
      </c>
      <c r="BE2542" s="93">
        <v>0</v>
      </c>
      <c r="BF2542" s="93">
        <f t="shared" si="592"/>
        <v>0</v>
      </c>
      <c r="BH2542" s="93">
        <f t="shared" si="593"/>
        <v>0</v>
      </c>
      <c r="BI2542" s="93">
        <f t="shared" si="594"/>
        <v>0</v>
      </c>
      <c r="BJ2542" s="93">
        <f t="shared" si="595"/>
        <v>0</v>
      </c>
      <c r="BK2542" s="93"/>
      <c r="BL2542" s="93"/>
      <c r="BW2542" s="93" t="str">
        <f t="shared" si="596"/>
        <v>21</v>
      </c>
      <c r="BX2542" s="2" t="s">
        <v>3507</v>
      </c>
    </row>
    <row r="2543" spans="1:76" s="81" customFormat="1" ht="25.5" x14ac:dyDescent="0.25">
      <c r="A2543" s="66" t="s">
        <v>3527</v>
      </c>
      <c r="B2543" s="72" t="s">
        <v>55</v>
      </c>
      <c r="C2543" s="72" t="s">
        <v>3509</v>
      </c>
      <c r="D2543" s="174" t="s">
        <v>3510</v>
      </c>
      <c r="E2543" s="174"/>
      <c r="F2543" s="72" t="s">
        <v>213</v>
      </c>
      <c r="G2543" s="90">
        <v>22</v>
      </c>
      <c r="H2543" s="91"/>
      <c r="I2543" s="92" t="s">
        <v>63</v>
      </c>
      <c r="J2543" s="90">
        <f t="shared" si="569"/>
        <v>0</v>
      </c>
      <c r="K2543" s="90">
        <f t="shared" si="570"/>
        <v>0</v>
      </c>
      <c r="L2543" s="90">
        <f t="shared" si="571"/>
        <v>0</v>
      </c>
      <c r="M2543" s="90">
        <f t="shared" si="572"/>
        <v>0</v>
      </c>
      <c r="N2543" s="90">
        <v>0</v>
      </c>
      <c r="O2543" s="90">
        <f t="shared" si="573"/>
        <v>0</v>
      </c>
      <c r="P2543" s="92" t="s">
        <v>1647</v>
      </c>
      <c r="Z2543" s="93">
        <f t="shared" si="574"/>
        <v>0</v>
      </c>
      <c r="AB2543" s="93">
        <f t="shared" si="575"/>
        <v>0</v>
      </c>
      <c r="AC2543" s="93">
        <f t="shared" si="576"/>
        <v>0</v>
      </c>
      <c r="AD2543" s="93">
        <f t="shared" si="577"/>
        <v>0</v>
      </c>
      <c r="AE2543" s="93">
        <f t="shared" si="578"/>
        <v>0</v>
      </c>
      <c r="AF2543" s="93">
        <f t="shared" si="579"/>
        <v>0</v>
      </c>
      <c r="AG2543" s="93">
        <f t="shared" si="580"/>
        <v>0</v>
      </c>
      <c r="AH2543" s="93">
        <f t="shared" si="581"/>
        <v>0</v>
      </c>
      <c r="AI2543" s="88" t="s">
        <v>55</v>
      </c>
      <c r="AJ2543" s="93">
        <f t="shared" si="582"/>
        <v>0</v>
      </c>
      <c r="AK2543" s="93">
        <f t="shared" si="583"/>
        <v>0</v>
      </c>
      <c r="AL2543" s="93">
        <f t="shared" si="584"/>
        <v>0</v>
      </c>
      <c r="AN2543" s="93">
        <v>21</v>
      </c>
      <c r="AO2543" s="93">
        <f t="shared" si="585"/>
        <v>0</v>
      </c>
      <c r="AP2543" s="93">
        <f t="shared" si="586"/>
        <v>0</v>
      </c>
      <c r="AQ2543" s="94" t="s">
        <v>118</v>
      </c>
      <c r="AV2543" s="93">
        <f t="shared" si="587"/>
        <v>0</v>
      </c>
      <c r="AW2543" s="93">
        <f t="shared" si="588"/>
        <v>0</v>
      </c>
      <c r="AX2543" s="93">
        <f t="shared" si="589"/>
        <v>0</v>
      </c>
      <c r="AY2543" s="94" t="s">
        <v>3494</v>
      </c>
      <c r="AZ2543" s="94" t="s">
        <v>3495</v>
      </c>
      <c r="BA2543" s="88" t="s">
        <v>67</v>
      </c>
      <c r="BC2543" s="93">
        <f t="shared" si="590"/>
        <v>0</v>
      </c>
      <c r="BD2543" s="93">
        <f t="shared" si="591"/>
        <v>0</v>
      </c>
      <c r="BE2543" s="93">
        <v>0</v>
      </c>
      <c r="BF2543" s="93">
        <f t="shared" si="592"/>
        <v>0</v>
      </c>
      <c r="BH2543" s="93">
        <f t="shared" si="593"/>
        <v>0</v>
      </c>
      <c r="BI2543" s="93">
        <f t="shared" si="594"/>
        <v>0</v>
      </c>
      <c r="BJ2543" s="93">
        <f t="shared" si="595"/>
        <v>0</v>
      </c>
      <c r="BK2543" s="93"/>
      <c r="BL2543" s="93"/>
      <c r="BW2543" s="93" t="str">
        <f t="shared" si="596"/>
        <v>21</v>
      </c>
      <c r="BX2543" s="2" t="s">
        <v>3510</v>
      </c>
    </row>
    <row r="2544" spans="1:76" s="81" customFormat="1" ht="25.5" x14ac:dyDescent="0.25">
      <c r="A2544" s="66" t="s">
        <v>3530</v>
      </c>
      <c r="B2544" s="72" t="s">
        <v>55</v>
      </c>
      <c r="C2544" s="72" t="s">
        <v>3512</v>
      </c>
      <c r="D2544" s="174" t="s">
        <v>3513</v>
      </c>
      <c r="E2544" s="174"/>
      <c r="F2544" s="72" t="s">
        <v>3514</v>
      </c>
      <c r="G2544" s="90">
        <v>28</v>
      </c>
      <c r="H2544" s="91"/>
      <c r="I2544" s="92" t="s">
        <v>63</v>
      </c>
      <c r="J2544" s="90">
        <f t="shared" si="569"/>
        <v>0</v>
      </c>
      <c r="K2544" s="90">
        <f t="shared" si="570"/>
        <v>0</v>
      </c>
      <c r="L2544" s="90">
        <f t="shared" si="571"/>
        <v>0</v>
      </c>
      <c r="M2544" s="90">
        <f t="shared" si="572"/>
        <v>0</v>
      </c>
      <c r="N2544" s="90">
        <v>0</v>
      </c>
      <c r="O2544" s="90">
        <f t="shared" si="573"/>
        <v>0</v>
      </c>
      <c r="P2544" s="92" t="s">
        <v>1647</v>
      </c>
      <c r="Z2544" s="93">
        <f t="shared" si="574"/>
        <v>0</v>
      </c>
      <c r="AB2544" s="93">
        <f t="shared" si="575"/>
        <v>0</v>
      </c>
      <c r="AC2544" s="93">
        <f t="shared" si="576"/>
        <v>0</v>
      </c>
      <c r="AD2544" s="93">
        <f t="shared" si="577"/>
        <v>0</v>
      </c>
      <c r="AE2544" s="93">
        <f t="shared" si="578"/>
        <v>0</v>
      </c>
      <c r="AF2544" s="93">
        <f t="shared" si="579"/>
        <v>0</v>
      </c>
      <c r="AG2544" s="93">
        <f t="shared" si="580"/>
        <v>0</v>
      </c>
      <c r="AH2544" s="93">
        <f t="shared" si="581"/>
        <v>0</v>
      </c>
      <c r="AI2544" s="88" t="s">
        <v>55</v>
      </c>
      <c r="AJ2544" s="93">
        <f t="shared" si="582"/>
        <v>0</v>
      </c>
      <c r="AK2544" s="93">
        <f t="shared" si="583"/>
        <v>0</v>
      </c>
      <c r="AL2544" s="93">
        <f t="shared" si="584"/>
        <v>0</v>
      </c>
      <c r="AN2544" s="93">
        <v>21</v>
      </c>
      <c r="AO2544" s="93">
        <f t="shared" si="585"/>
        <v>0</v>
      </c>
      <c r="AP2544" s="93">
        <f t="shared" si="586"/>
        <v>0</v>
      </c>
      <c r="AQ2544" s="94" t="s">
        <v>118</v>
      </c>
      <c r="AV2544" s="93">
        <f t="shared" si="587"/>
        <v>0</v>
      </c>
      <c r="AW2544" s="93">
        <f t="shared" si="588"/>
        <v>0</v>
      </c>
      <c r="AX2544" s="93">
        <f t="shared" si="589"/>
        <v>0</v>
      </c>
      <c r="AY2544" s="94" t="s">
        <v>3494</v>
      </c>
      <c r="AZ2544" s="94" t="s">
        <v>3495</v>
      </c>
      <c r="BA2544" s="88" t="s">
        <v>67</v>
      </c>
      <c r="BC2544" s="93">
        <f t="shared" si="590"/>
        <v>0</v>
      </c>
      <c r="BD2544" s="93">
        <f t="shared" si="591"/>
        <v>0</v>
      </c>
      <c r="BE2544" s="93">
        <v>0</v>
      </c>
      <c r="BF2544" s="93">
        <f t="shared" si="592"/>
        <v>0</v>
      </c>
      <c r="BH2544" s="93">
        <f t="shared" si="593"/>
        <v>0</v>
      </c>
      <c r="BI2544" s="93">
        <f t="shared" si="594"/>
        <v>0</v>
      </c>
      <c r="BJ2544" s="93">
        <f t="shared" si="595"/>
        <v>0</v>
      </c>
      <c r="BK2544" s="93"/>
      <c r="BL2544" s="93"/>
      <c r="BW2544" s="93" t="str">
        <f t="shared" si="596"/>
        <v>21</v>
      </c>
      <c r="BX2544" s="2" t="s">
        <v>3513</v>
      </c>
    </row>
    <row r="2545" spans="1:76" s="81" customFormat="1" ht="25.5" x14ac:dyDescent="0.25">
      <c r="A2545" s="66" t="s">
        <v>3533</v>
      </c>
      <c r="B2545" s="72" t="s">
        <v>55</v>
      </c>
      <c r="C2545" s="72" t="s">
        <v>3516</v>
      </c>
      <c r="D2545" s="174" t="s">
        <v>3517</v>
      </c>
      <c r="E2545" s="174"/>
      <c r="F2545" s="72" t="s">
        <v>3514</v>
      </c>
      <c r="G2545" s="90">
        <v>800</v>
      </c>
      <c r="H2545" s="91"/>
      <c r="I2545" s="92" t="s">
        <v>63</v>
      </c>
      <c r="J2545" s="90">
        <f t="shared" si="569"/>
        <v>0</v>
      </c>
      <c r="K2545" s="90">
        <f t="shared" si="570"/>
        <v>0</v>
      </c>
      <c r="L2545" s="90">
        <f t="shared" si="571"/>
        <v>0</v>
      </c>
      <c r="M2545" s="90">
        <f t="shared" si="572"/>
        <v>0</v>
      </c>
      <c r="N2545" s="90">
        <v>0</v>
      </c>
      <c r="O2545" s="90">
        <f t="shared" si="573"/>
        <v>0</v>
      </c>
      <c r="P2545" s="92" t="s">
        <v>1647</v>
      </c>
      <c r="Z2545" s="93">
        <f t="shared" si="574"/>
        <v>0</v>
      </c>
      <c r="AB2545" s="93">
        <f t="shared" si="575"/>
        <v>0</v>
      </c>
      <c r="AC2545" s="93">
        <f t="shared" si="576"/>
        <v>0</v>
      </c>
      <c r="AD2545" s="93">
        <f t="shared" si="577"/>
        <v>0</v>
      </c>
      <c r="AE2545" s="93">
        <f t="shared" si="578"/>
        <v>0</v>
      </c>
      <c r="AF2545" s="93">
        <f t="shared" si="579"/>
        <v>0</v>
      </c>
      <c r="AG2545" s="93">
        <f t="shared" si="580"/>
        <v>0</v>
      </c>
      <c r="AH2545" s="93">
        <f t="shared" si="581"/>
        <v>0</v>
      </c>
      <c r="AI2545" s="88" t="s">
        <v>55</v>
      </c>
      <c r="AJ2545" s="93">
        <f t="shared" si="582"/>
        <v>0</v>
      </c>
      <c r="AK2545" s="93">
        <f t="shared" si="583"/>
        <v>0</v>
      </c>
      <c r="AL2545" s="93">
        <f t="shared" si="584"/>
        <v>0</v>
      </c>
      <c r="AN2545" s="93">
        <v>21</v>
      </c>
      <c r="AO2545" s="93">
        <f t="shared" si="585"/>
        <v>0</v>
      </c>
      <c r="AP2545" s="93">
        <f t="shared" si="586"/>
        <v>0</v>
      </c>
      <c r="AQ2545" s="94" t="s">
        <v>118</v>
      </c>
      <c r="AV2545" s="93">
        <f t="shared" si="587"/>
        <v>0</v>
      </c>
      <c r="AW2545" s="93">
        <f t="shared" si="588"/>
        <v>0</v>
      </c>
      <c r="AX2545" s="93">
        <f t="shared" si="589"/>
        <v>0</v>
      </c>
      <c r="AY2545" s="94" t="s">
        <v>3494</v>
      </c>
      <c r="AZ2545" s="94" t="s">
        <v>3495</v>
      </c>
      <c r="BA2545" s="88" t="s">
        <v>67</v>
      </c>
      <c r="BC2545" s="93">
        <f t="shared" si="590"/>
        <v>0</v>
      </c>
      <c r="BD2545" s="93">
        <f t="shared" si="591"/>
        <v>0</v>
      </c>
      <c r="BE2545" s="93">
        <v>0</v>
      </c>
      <c r="BF2545" s="93">
        <f t="shared" si="592"/>
        <v>0</v>
      </c>
      <c r="BH2545" s="93">
        <f t="shared" si="593"/>
        <v>0</v>
      </c>
      <c r="BI2545" s="93">
        <f t="shared" si="594"/>
        <v>0</v>
      </c>
      <c r="BJ2545" s="93">
        <f t="shared" si="595"/>
        <v>0</v>
      </c>
      <c r="BK2545" s="93"/>
      <c r="BL2545" s="93"/>
      <c r="BW2545" s="93" t="str">
        <f t="shared" si="596"/>
        <v>21</v>
      </c>
      <c r="BX2545" s="2" t="s">
        <v>3517</v>
      </c>
    </row>
    <row r="2546" spans="1:76" s="81" customFormat="1" ht="25.5" x14ac:dyDescent="0.25">
      <c r="A2546" s="66" t="s">
        <v>3536</v>
      </c>
      <c r="B2546" s="72" t="s">
        <v>55</v>
      </c>
      <c r="C2546" s="72" t="s">
        <v>3519</v>
      </c>
      <c r="D2546" s="174" t="s">
        <v>3520</v>
      </c>
      <c r="E2546" s="174"/>
      <c r="F2546" s="72" t="s">
        <v>3514</v>
      </c>
      <c r="G2546" s="90">
        <v>416</v>
      </c>
      <c r="H2546" s="91"/>
      <c r="I2546" s="92" t="s">
        <v>63</v>
      </c>
      <c r="J2546" s="90">
        <f t="shared" si="569"/>
        <v>0</v>
      </c>
      <c r="K2546" s="90">
        <f t="shared" si="570"/>
        <v>0</v>
      </c>
      <c r="L2546" s="90">
        <f t="shared" si="571"/>
        <v>0</v>
      </c>
      <c r="M2546" s="90">
        <f t="shared" si="572"/>
        <v>0</v>
      </c>
      <c r="N2546" s="90">
        <v>0</v>
      </c>
      <c r="O2546" s="90">
        <f t="shared" si="573"/>
        <v>0</v>
      </c>
      <c r="P2546" s="92" t="s">
        <v>1647</v>
      </c>
      <c r="Z2546" s="93">
        <f t="shared" si="574"/>
        <v>0</v>
      </c>
      <c r="AB2546" s="93">
        <f t="shared" si="575"/>
        <v>0</v>
      </c>
      <c r="AC2546" s="93">
        <f t="shared" si="576"/>
        <v>0</v>
      </c>
      <c r="AD2546" s="93">
        <f t="shared" si="577"/>
        <v>0</v>
      </c>
      <c r="AE2546" s="93">
        <f t="shared" si="578"/>
        <v>0</v>
      </c>
      <c r="AF2546" s="93">
        <f t="shared" si="579"/>
        <v>0</v>
      </c>
      <c r="AG2546" s="93">
        <f t="shared" si="580"/>
        <v>0</v>
      </c>
      <c r="AH2546" s="93">
        <f t="shared" si="581"/>
        <v>0</v>
      </c>
      <c r="AI2546" s="88" t="s">
        <v>55</v>
      </c>
      <c r="AJ2546" s="93">
        <f t="shared" si="582"/>
        <v>0</v>
      </c>
      <c r="AK2546" s="93">
        <f t="shared" si="583"/>
        <v>0</v>
      </c>
      <c r="AL2546" s="93">
        <f t="shared" si="584"/>
        <v>0</v>
      </c>
      <c r="AN2546" s="93">
        <v>21</v>
      </c>
      <c r="AO2546" s="93">
        <f t="shared" si="585"/>
        <v>0</v>
      </c>
      <c r="AP2546" s="93">
        <f t="shared" si="586"/>
        <v>0</v>
      </c>
      <c r="AQ2546" s="94" t="s">
        <v>118</v>
      </c>
      <c r="AV2546" s="93">
        <f t="shared" si="587"/>
        <v>0</v>
      </c>
      <c r="AW2546" s="93">
        <f t="shared" si="588"/>
        <v>0</v>
      </c>
      <c r="AX2546" s="93">
        <f t="shared" si="589"/>
        <v>0</v>
      </c>
      <c r="AY2546" s="94" t="s">
        <v>3494</v>
      </c>
      <c r="AZ2546" s="94" t="s">
        <v>3495</v>
      </c>
      <c r="BA2546" s="88" t="s">
        <v>67</v>
      </c>
      <c r="BC2546" s="93">
        <f t="shared" si="590"/>
        <v>0</v>
      </c>
      <c r="BD2546" s="93">
        <f t="shared" si="591"/>
        <v>0</v>
      </c>
      <c r="BE2546" s="93">
        <v>0</v>
      </c>
      <c r="BF2546" s="93">
        <f t="shared" si="592"/>
        <v>0</v>
      </c>
      <c r="BH2546" s="93">
        <f t="shared" si="593"/>
        <v>0</v>
      </c>
      <c r="BI2546" s="93">
        <f t="shared" si="594"/>
        <v>0</v>
      </c>
      <c r="BJ2546" s="93">
        <f t="shared" si="595"/>
        <v>0</v>
      </c>
      <c r="BK2546" s="93"/>
      <c r="BL2546" s="93"/>
      <c r="BW2546" s="93" t="str">
        <f t="shared" si="596"/>
        <v>21</v>
      </c>
      <c r="BX2546" s="2" t="s">
        <v>3520</v>
      </c>
    </row>
    <row r="2547" spans="1:76" s="81" customFormat="1" ht="25.5" x14ac:dyDescent="0.25">
      <c r="A2547" s="66" t="s">
        <v>3539</v>
      </c>
      <c r="B2547" s="72" t="s">
        <v>55</v>
      </c>
      <c r="C2547" s="72" t="s">
        <v>3522</v>
      </c>
      <c r="D2547" s="174" t="s">
        <v>3523</v>
      </c>
      <c r="E2547" s="174"/>
      <c r="F2547" s="72" t="s">
        <v>3514</v>
      </c>
      <c r="G2547" s="90">
        <v>36</v>
      </c>
      <c r="H2547" s="91"/>
      <c r="I2547" s="92" t="s">
        <v>63</v>
      </c>
      <c r="J2547" s="90">
        <f t="shared" si="569"/>
        <v>0</v>
      </c>
      <c r="K2547" s="90">
        <f t="shared" si="570"/>
        <v>0</v>
      </c>
      <c r="L2547" s="90">
        <f t="shared" si="571"/>
        <v>0</v>
      </c>
      <c r="M2547" s="90">
        <f t="shared" si="572"/>
        <v>0</v>
      </c>
      <c r="N2547" s="90">
        <v>0</v>
      </c>
      <c r="O2547" s="90">
        <f t="shared" si="573"/>
        <v>0</v>
      </c>
      <c r="P2547" s="92" t="s">
        <v>1647</v>
      </c>
      <c r="Z2547" s="93">
        <f t="shared" si="574"/>
        <v>0</v>
      </c>
      <c r="AB2547" s="93">
        <f t="shared" si="575"/>
        <v>0</v>
      </c>
      <c r="AC2547" s="93">
        <f t="shared" si="576"/>
        <v>0</v>
      </c>
      <c r="AD2547" s="93">
        <f t="shared" si="577"/>
        <v>0</v>
      </c>
      <c r="AE2547" s="93">
        <f t="shared" si="578"/>
        <v>0</v>
      </c>
      <c r="AF2547" s="93">
        <f t="shared" si="579"/>
        <v>0</v>
      </c>
      <c r="AG2547" s="93">
        <f t="shared" si="580"/>
        <v>0</v>
      </c>
      <c r="AH2547" s="93">
        <f t="shared" si="581"/>
        <v>0</v>
      </c>
      <c r="AI2547" s="88" t="s">
        <v>55</v>
      </c>
      <c r="AJ2547" s="93">
        <f t="shared" si="582"/>
        <v>0</v>
      </c>
      <c r="AK2547" s="93">
        <f t="shared" si="583"/>
        <v>0</v>
      </c>
      <c r="AL2547" s="93">
        <f t="shared" si="584"/>
        <v>0</v>
      </c>
      <c r="AN2547" s="93">
        <v>21</v>
      </c>
      <c r="AO2547" s="93">
        <f t="shared" si="585"/>
        <v>0</v>
      </c>
      <c r="AP2547" s="93">
        <f t="shared" si="586"/>
        <v>0</v>
      </c>
      <c r="AQ2547" s="94" t="s">
        <v>118</v>
      </c>
      <c r="AV2547" s="93">
        <f t="shared" si="587"/>
        <v>0</v>
      </c>
      <c r="AW2547" s="93">
        <f t="shared" si="588"/>
        <v>0</v>
      </c>
      <c r="AX2547" s="93">
        <f t="shared" si="589"/>
        <v>0</v>
      </c>
      <c r="AY2547" s="94" t="s">
        <v>3494</v>
      </c>
      <c r="AZ2547" s="94" t="s">
        <v>3495</v>
      </c>
      <c r="BA2547" s="88" t="s">
        <v>67</v>
      </c>
      <c r="BC2547" s="93">
        <f t="shared" si="590"/>
        <v>0</v>
      </c>
      <c r="BD2547" s="93">
        <f t="shared" si="591"/>
        <v>0</v>
      </c>
      <c r="BE2547" s="93">
        <v>0</v>
      </c>
      <c r="BF2547" s="93">
        <f t="shared" si="592"/>
        <v>0</v>
      </c>
      <c r="BH2547" s="93">
        <f t="shared" si="593"/>
        <v>0</v>
      </c>
      <c r="BI2547" s="93">
        <f t="shared" si="594"/>
        <v>0</v>
      </c>
      <c r="BJ2547" s="93">
        <f t="shared" si="595"/>
        <v>0</v>
      </c>
      <c r="BK2547" s="93"/>
      <c r="BL2547" s="93"/>
      <c r="BW2547" s="93" t="str">
        <f t="shared" si="596"/>
        <v>21</v>
      </c>
      <c r="BX2547" s="2" t="s">
        <v>3523</v>
      </c>
    </row>
    <row r="2548" spans="1:76" s="81" customFormat="1" ht="25.5" x14ac:dyDescent="0.25">
      <c r="A2548" s="66" t="s">
        <v>3542</v>
      </c>
      <c r="B2548" s="72" t="s">
        <v>55</v>
      </c>
      <c r="C2548" s="72" t="s">
        <v>3525</v>
      </c>
      <c r="D2548" s="174" t="s">
        <v>3526</v>
      </c>
      <c r="E2548" s="174"/>
      <c r="F2548" s="72" t="s">
        <v>3514</v>
      </c>
      <c r="G2548" s="90">
        <v>156</v>
      </c>
      <c r="H2548" s="91"/>
      <c r="I2548" s="92" t="s">
        <v>63</v>
      </c>
      <c r="J2548" s="90">
        <f t="shared" si="569"/>
        <v>0</v>
      </c>
      <c r="K2548" s="90">
        <f t="shared" si="570"/>
        <v>0</v>
      </c>
      <c r="L2548" s="90">
        <f t="shared" si="571"/>
        <v>0</v>
      </c>
      <c r="M2548" s="90">
        <f t="shared" si="572"/>
        <v>0</v>
      </c>
      <c r="N2548" s="90">
        <v>0</v>
      </c>
      <c r="O2548" s="90">
        <f t="shared" si="573"/>
        <v>0</v>
      </c>
      <c r="P2548" s="92" t="s">
        <v>1647</v>
      </c>
      <c r="Z2548" s="93">
        <f t="shared" si="574"/>
        <v>0</v>
      </c>
      <c r="AB2548" s="93">
        <f t="shared" si="575"/>
        <v>0</v>
      </c>
      <c r="AC2548" s="93">
        <f t="shared" si="576"/>
        <v>0</v>
      </c>
      <c r="AD2548" s="93">
        <f t="shared" si="577"/>
        <v>0</v>
      </c>
      <c r="AE2548" s="93">
        <f t="shared" si="578"/>
        <v>0</v>
      </c>
      <c r="AF2548" s="93">
        <f t="shared" si="579"/>
        <v>0</v>
      </c>
      <c r="AG2548" s="93">
        <f t="shared" si="580"/>
        <v>0</v>
      </c>
      <c r="AH2548" s="93">
        <f t="shared" si="581"/>
        <v>0</v>
      </c>
      <c r="AI2548" s="88" t="s">
        <v>55</v>
      </c>
      <c r="AJ2548" s="93">
        <f t="shared" si="582"/>
        <v>0</v>
      </c>
      <c r="AK2548" s="93">
        <f t="shared" si="583"/>
        <v>0</v>
      </c>
      <c r="AL2548" s="93">
        <f t="shared" si="584"/>
        <v>0</v>
      </c>
      <c r="AN2548" s="93">
        <v>21</v>
      </c>
      <c r="AO2548" s="93">
        <f t="shared" si="585"/>
        <v>0</v>
      </c>
      <c r="AP2548" s="93">
        <f t="shared" si="586"/>
        <v>0</v>
      </c>
      <c r="AQ2548" s="94" t="s">
        <v>118</v>
      </c>
      <c r="AV2548" s="93">
        <f t="shared" si="587"/>
        <v>0</v>
      </c>
      <c r="AW2548" s="93">
        <f t="shared" si="588"/>
        <v>0</v>
      </c>
      <c r="AX2548" s="93">
        <f t="shared" si="589"/>
        <v>0</v>
      </c>
      <c r="AY2548" s="94" t="s">
        <v>3494</v>
      </c>
      <c r="AZ2548" s="94" t="s">
        <v>3495</v>
      </c>
      <c r="BA2548" s="88" t="s">
        <v>67</v>
      </c>
      <c r="BC2548" s="93">
        <f t="shared" si="590"/>
        <v>0</v>
      </c>
      <c r="BD2548" s="93">
        <f t="shared" si="591"/>
        <v>0</v>
      </c>
      <c r="BE2548" s="93">
        <v>0</v>
      </c>
      <c r="BF2548" s="93">
        <f t="shared" si="592"/>
        <v>0</v>
      </c>
      <c r="BH2548" s="93">
        <f t="shared" si="593"/>
        <v>0</v>
      </c>
      <c r="BI2548" s="93">
        <f t="shared" si="594"/>
        <v>0</v>
      </c>
      <c r="BJ2548" s="93">
        <f t="shared" si="595"/>
        <v>0</v>
      </c>
      <c r="BK2548" s="93"/>
      <c r="BL2548" s="93"/>
      <c r="BW2548" s="93" t="str">
        <f t="shared" si="596"/>
        <v>21</v>
      </c>
      <c r="BX2548" s="2" t="s">
        <v>3526</v>
      </c>
    </row>
    <row r="2549" spans="1:76" s="81" customFormat="1" ht="25.5" x14ac:dyDescent="0.25">
      <c r="A2549" s="66" t="s">
        <v>2241</v>
      </c>
      <c r="B2549" s="72" t="s">
        <v>55</v>
      </c>
      <c r="C2549" s="72" t="s">
        <v>3528</v>
      </c>
      <c r="D2549" s="174" t="s">
        <v>3529</v>
      </c>
      <c r="E2549" s="174"/>
      <c r="F2549" s="72" t="s">
        <v>3514</v>
      </c>
      <c r="G2549" s="90">
        <v>28</v>
      </c>
      <c r="H2549" s="91"/>
      <c r="I2549" s="92" t="s">
        <v>63</v>
      </c>
      <c r="J2549" s="90">
        <f t="shared" si="569"/>
        <v>0</v>
      </c>
      <c r="K2549" s="90">
        <f t="shared" si="570"/>
        <v>0</v>
      </c>
      <c r="L2549" s="90">
        <f t="shared" si="571"/>
        <v>0</v>
      </c>
      <c r="M2549" s="90">
        <f t="shared" si="572"/>
        <v>0</v>
      </c>
      <c r="N2549" s="90">
        <v>0</v>
      </c>
      <c r="O2549" s="90">
        <f t="shared" si="573"/>
        <v>0</v>
      </c>
      <c r="P2549" s="92" t="s">
        <v>1647</v>
      </c>
      <c r="Z2549" s="93">
        <f t="shared" si="574"/>
        <v>0</v>
      </c>
      <c r="AB2549" s="93">
        <f t="shared" si="575"/>
        <v>0</v>
      </c>
      <c r="AC2549" s="93">
        <f t="shared" si="576"/>
        <v>0</v>
      </c>
      <c r="AD2549" s="93">
        <f t="shared" si="577"/>
        <v>0</v>
      </c>
      <c r="AE2549" s="93">
        <f t="shared" si="578"/>
        <v>0</v>
      </c>
      <c r="AF2549" s="93">
        <f t="shared" si="579"/>
        <v>0</v>
      </c>
      <c r="AG2549" s="93">
        <f t="shared" si="580"/>
        <v>0</v>
      </c>
      <c r="AH2549" s="93">
        <f t="shared" si="581"/>
        <v>0</v>
      </c>
      <c r="AI2549" s="88" t="s">
        <v>55</v>
      </c>
      <c r="AJ2549" s="93">
        <f t="shared" si="582"/>
        <v>0</v>
      </c>
      <c r="AK2549" s="93">
        <f t="shared" si="583"/>
        <v>0</v>
      </c>
      <c r="AL2549" s="93">
        <f t="shared" si="584"/>
        <v>0</v>
      </c>
      <c r="AN2549" s="93">
        <v>21</v>
      </c>
      <c r="AO2549" s="93">
        <f t="shared" si="585"/>
        <v>0</v>
      </c>
      <c r="AP2549" s="93">
        <f t="shared" si="586"/>
        <v>0</v>
      </c>
      <c r="AQ2549" s="94" t="s">
        <v>118</v>
      </c>
      <c r="AV2549" s="93">
        <f t="shared" si="587"/>
        <v>0</v>
      </c>
      <c r="AW2549" s="93">
        <f t="shared" si="588"/>
        <v>0</v>
      </c>
      <c r="AX2549" s="93">
        <f t="shared" si="589"/>
        <v>0</v>
      </c>
      <c r="AY2549" s="94" t="s">
        <v>3494</v>
      </c>
      <c r="AZ2549" s="94" t="s">
        <v>3495</v>
      </c>
      <c r="BA2549" s="88" t="s">
        <v>67</v>
      </c>
      <c r="BC2549" s="93">
        <f t="shared" si="590"/>
        <v>0</v>
      </c>
      <c r="BD2549" s="93">
        <f t="shared" si="591"/>
        <v>0</v>
      </c>
      <c r="BE2549" s="93">
        <v>0</v>
      </c>
      <c r="BF2549" s="93">
        <f t="shared" si="592"/>
        <v>0</v>
      </c>
      <c r="BH2549" s="93">
        <f t="shared" si="593"/>
        <v>0</v>
      </c>
      <c r="BI2549" s="93">
        <f t="shared" si="594"/>
        <v>0</v>
      </c>
      <c r="BJ2549" s="93">
        <f t="shared" si="595"/>
        <v>0</v>
      </c>
      <c r="BK2549" s="93"/>
      <c r="BL2549" s="93"/>
      <c r="BW2549" s="93" t="str">
        <f t="shared" si="596"/>
        <v>21</v>
      </c>
      <c r="BX2549" s="2" t="s">
        <v>3529</v>
      </c>
    </row>
    <row r="2550" spans="1:76" s="81" customFormat="1" ht="25.5" x14ac:dyDescent="0.25">
      <c r="A2550" s="66" t="s">
        <v>3547</v>
      </c>
      <c r="B2550" s="72" t="s">
        <v>55</v>
      </c>
      <c r="C2550" s="72" t="s">
        <v>3531</v>
      </c>
      <c r="D2550" s="174" t="s">
        <v>3532</v>
      </c>
      <c r="E2550" s="174"/>
      <c r="F2550" s="72" t="s">
        <v>3514</v>
      </c>
      <c r="G2550" s="90">
        <v>12</v>
      </c>
      <c r="H2550" s="91"/>
      <c r="I2550" s="92" t="s">
        <v>63</v>
      </c>
      <c r="J2550" s="90">
        <f t="shared" si="569"/>
        <v>0</v>
      </c>
      <c r="K2550" s="90">
        <f t="shared" si="570"/>
        <v>0</v>
      </c>
      <c r="L2550" s="90">
        <f t="shared" si="571"/>
        <v>0</v>
      </c>
      <c r="M2550" s="90">
        <f t="shared" si="572"/>
        <v>0</v>
      </c>
      <c r="N2550" s="90">
        <v>0</v>
      </c>
      <c r="O2550" s="90">
        <f t="shared" si="573"/>
        <v>0</v>
      </c>
      <c r="P2550" s="92" t="s">
        <v>1647</v>
      </c>
      <c r="Z2550" s="93">
        <f t="shared" si="574"/>
        <v>0</v>
      </c>
      <c r="AB2550" s="93">
        <f t="shared" si="575"/>
        <v>0</v>
      </c>
      <c r="AC2550" s="93">
        <f t="shared" si="576"/>
        <v>0</v>
      </c>
      <c r="AD2550" s="93">
        <f t="shared" si="577"/>
        <v>0</v>
      </c>
      <c r="AE2550" s="93">
        <f t="shared" si="578"/>
        <v>0</v>
      </c>
      <c r="AF2550" s="93">
        <f t="shared" si="579"/>
        <v>0</v>
      </c>
      <c r="AG2550" s="93">
        <f t="shared" si="580"/>
        <v>0</v>
      </c>
      <c r="AH2550" s="93">
        <f t="shared" si="581"/>
        <v>0</v>
      </c>
      <c r="AI2550" s="88" t="s">
        <v>55</v>
      </c>
      <c r="AJ2550" s="93">
        <f t="shared" si="582"/>
        <v>0</v>
      </c>
      <c r="AK2550" s="93">
        <f t="shared" si="583"/>
        <v>0</v>
      </c>
      <c r="AL2550" s="93">
        <f t="shared" si="584"/>
        <v>0</v>
      </c>
      <c r="AN2550" s="93">
        <v>21</v>
      </c>
      <c r="AO2550" s="93">
        <f t="shared" si="585"/>
        <v>0</v>
      </c>
      <c r="AP2550" s="93">
        <f t="shared" si="586"/>
        <v>0</v>
      </c>
      <c r="AQ2550" s="94" t="s">
        <v>118</v>
      </c>
      <c r="AV2550" s="93">
        <f t="shared" si="587"/>
        <v>0</v>
      </c>
      <c r="AW2550" s="93">
        <f t="shared" si="588"/>
        <v>0</v>
      </c>
      <c r="AX2550" s="93">
        <f t="shared" si="589"/>
        <v>0</v>
      </c>
      <c r="AY2550" s="94" t="s">
        <v>3494</v>
      </c>
      <c r="AZ2550" s="94" t="s">
        <v>3495</v>
      </c>
      <c r="BA2550" s="88" t="s">
        <v>67</v>
      </c>
      <c r="BC2550" s="93">
        <f t="shared" si="590"/>
        <v>0</v>
      </c>
      <c r="BD2550" s="93">
        <f t="shared" si="591"/>
        <v>0</v>
      </c>
      <c r="BE2550" s="93">
        <v>0</v>
      </c>
      <c r="BF2550" s="93">
        <f t="shared" si="592"/>
        <v>0</v>
      </c>
      <c r="BH2550" s="93">
        <f t="shared" si="593"/>
        <v>0</v>
      </c>
      <c r="BI2550" s="93">
        <f t="shared" si="594"/>
        <v>0</v>
      </c>
      <c r="BJ2550" s="93">
        <f t="shared" si="595"/>
        <v>0</v>
      </c>
      <c r="BK2550" s="93"/>
      <c r="BL2550" s="93"/>
      <c r="BW2550" s="93" t="str">
        <f t="shared" si="596"/>
        <v>21</v>
      </c>
      <c r="BX2550" s="2" t="s">
        <v>3532</v>
      </c>
    </row>
    <row r="2551" spans="1:76" s="81" customFormat="1" ht="25.5" x14ac:dyDescent="0.25">
      <c r="A2551" s="66" t="s">
        <v>2252</v>
      </c>
      <c r="B2551" s="72" t="s">
        <v>55</v>
      </c>
      <c r="C2551" s="72" t="s">
        <v>3534</v>
      </c>
      <c r="D2551" s="174" t="s">
        <v>3535</v>
      </c>
      <c r="E2551" s="174"/>
      <c r="F2551" s="72" t="s">
        <v>213</v>
      </c>
      <c r="G2551" s="90">
        <v>15</v>
      </c>
      <c r="H2551" s="91"/>
      <c r="I2551" s="92" t="s">
        <v>63</v>
      </c>
      <c r="J2551" s="90">
        <f t="shared" si="569"/>
        <v>0</v>
      </c>
      <c r="K2551" s="90">
        <f t="shared" si="570"/>
        <v>0</v>
      </c>
      <c r="L2551" s="90">
        <f t="shared" si="571"/>
        <v>0</v>
      </c>
      <c r="M2551" s="90">
        <f t="shared" si="572"/>
        <v>0</v>
      </c>
      <c r="N2551" s="90">
        <v>0</v>
      </c>
      <c r="O2551" s="90">
        <f t="shared" si="573"/>
        <v>0</v>
      </c>
      <c r="P2551" s="92" t="s">
        <v>1647</v>
      </c>
      <c r="Z2551" s="93">
        <f t="shared" si="574"/>
        <v>0</v>
      </c>
      <c r="AB2551" s="93">
        <f t="shared" si="575"/>
        <v>0</v>
      </c>
      <c r="AC2551" s="93">
        <f t="shared" si="576"/>
        <v>0</v>
      </c>
      <c r="AD2551" s="93">
        <f t="shared" si="577"/>
        <v>0</v>
      </c>
      <c r="AE2551" s="93">
        <f t="shared" si="578"/>
        <v>0</v>
      </c>
      <c r="AF2551" s="93">
        <f t="shared" si="579"/>
        <v>0</v>
      </c>
      <c r="AG2551" s="93">
        <f t="shared" si="580"/>
        <v>0</v>
      </c>
      <c r="AH2551" s="93">
        <f t="shared" si="581"/>
        <v>0</v>
      </c>
      <c r="AI2551" s="88" t="s">
        <v>55</v>
      </c>
      <c r="AJ2551" s="93">
        <f t="shared" si="582"/>
        <v>0</v>
      </c>
      <c r="AK2551" s="93">
        <f t="shared" si="583"/>
        <v>0</v>
      </c>
      <c r="AL2551" s="93">
        <f t="shared" si="584"/>
        <v>0</v>
      </c>
      <c r="AN2551" s="93">
        <v>21</v>
      </c>
      <c r="AO2551" s="93">
        <f t="shared" si="585"/>
        <v>0</v>
      </c>
      <c r="AP2551" s="93">
        <f t="shared" si="586"/>
        <v>0</v>
      </c>
      <c r="AQ2551" s="94" t="s">
        <v>118</v>
      </c>
      <c r="AV2551" s="93">
        <f t="shared" si="587"/>
        <v>0</v>
      </c>
      <c r="AW2551" s="93">
        <f t="shared" si="588"/>
        <v>0</v>
      </c>
      <c r="AX2551" s="93">
        <f t="shared" si="589"/>
        <v>0</v>
      </c>
      <c r="AY2551" s="94" t="s">
        <v>3494</v>
      </c>
      <c r="AZ2551" s="94" t="s">
        <v>3495</v>
      </c>
      <c r="BA2551" s="88" t="s">
        <v>67</v>
      </c>
      <c r="BC2551" s="93">
        <f t="shared" si="590"/>
        <v>0</v>
      </c>
      <c r="BD2551" s="93">
        <f t="shared" si="591"/>
        <v>0</v>
      </c>
      <c r="BE2551" s="93">
        <v>0</v>
      </c>
      <c r="BF2551" s="93">
        <f t="shared" si="592"/>
        <v>0</v>
      </c>
      <c r="BH2551" s="93">
        <f t="shared" si="593"/>
        <v>0</v>
      </c>
      <c r="BI2551" s="93">
        <f t="shared" si="594"/>
        <v>0</v>
      </c>
      <c r="BJ2551" s="93">
        <f t="shared" si="595"/>
        <v>0</v>
      </c>
      <c r="BK2551" s="93"/>
      <c r="BL2551" s="93"/>
      <c r="BW2551" s="93" t="str">
        <f t="shared" si="596"/>
        <v>21</v>
      </c>
      <c r="BX2551" s="2" t="s">
        <v>3535</v>
      </c>
    </row>
    <row r="2552" spans="1:76" s="81" customFormat="1" ht="25.5" x14ac:dyDescent="0.25">
      <c r="A2552" s="66" t="s">
        <v>3552</v>
      </c>
      <c r="B2552" s="72" t="s">
        <v>55</v>
      </c>
      <c r="C2552" s="72" t="s">
        <v>3537</v>
      </c>
      <c r="D2552" s="174" t="s">
        <v>3538</v>
      </c>
      <c r="E2552" s="174"/>
      <c r="F2552" s="72" t="s">
        <v>213</v>
      </c>
      <c r="G2552" s="90">
        <v>13</v>
      </c>
      <c r="H2552" s="91"/>
      <c r="I2552" s="92" t="s">
        <v>63</v>
      </c>
      <c r="J2552" s="90">
        <f t="shared" si="569"/>
        <v>0</v>
      </c>
      <c r="K2552" s="90">
        <f t="shared" si="570"/>
        <v>0</v>
      </c>
      <c r="L2552" s="90">
        <f t="shared" si="571"/>
        <v>0</v>
      </c>
      <c r="M2552" s="90">
        <f t="shared" si="572"/>
        <v>0</v>
      </c>
      <c r="N2552" s="90">
        <v>0</v>
      </c>
      <c r="O2552" s="90">
        <f t="shared" si="573"/>
        <v>0</v>
      </c>
      <c r="P2552" s="92" t="s">
        <v>1647</v>
      </c>
      <c r="Z2552" s="93">
        <f t="shared" si="574"/>
        <v>0</v>
      </c>
      <c r="AB2552" s="93">
        <f t="shared" si="575"/>
        <v>0</v>
      </c>
      <c r="AC2552" s="93">
        <f t="shared" si="576"/>
        <v>0</v>
      </c>
      <c r="AD2552" s="93">
        <f t="shared" si="577"/>
        <v>0</v>
      </c>
      <c r="AE2552" s="93">
        <f t="shared" si="578"/>
        <v>0</v>
      </c>
      <c r="AF2552" s="93">
        <f t="shared" si="579"/>
        <v>0</v>
      </c>
      <c r="AG2552" s="93">
        <f t="shared" si="580"/>
        <v>0</v>
      </c>
      <c r="AH2552" s="93">
        <f t="shared" si="581"/>
        <v>0</v>
      </c>
      <c r="AI2552" s="88" t="s">
        <v>55</v>
      </c>
      <c r="AJ2552" s="93">
        <f t="shared" si="582"/>
        <v>0</v>
      </c>
      <c r="AK2552" s="93">
        <f t="shared" si="583"/>
        <v>0</v>
      </c>
      <c r="AL2552" s="93">
        <f t="shared" si="584"/>
        <v>0</v>
      </c>
      <c r="AN2552" s="93">
        <v>21</v>
      </c>
      <c r="AO2552" s="93">
        <f t="shared" si="585"/>
        <v>0</v>
      </c>
      <c r="AP2552" s="93">
        <f t="shared" si="586"/>
        <v>0</v>
      </c>
      <c r="AQ2552" s="94" t="s">
        <v>118</v>
      </c>
      <c r="AV2552" s="93">
        <f t="shared" si="587"/>
        <v>0</v>
      </c>
      <c r="AW2552" s="93">
        <f t="shared" si="588"/>
        <v>0</v>
      </c>
      <c r="AX2552" s="93">
        <f t="shared" si="589"/>
        <v>0</v>
      </c>
      <c r="AY2552" s="94" t="s">
        <v>3494</v>
      </c>
      <c r="AZ2552" s="94" t="s">
        <v>3495</v>
      </c>
      <c r="BA2552" s="88" t="s">
        <v>67</v>
      </c>
      <c r="BC2552" s="93">
        <f t="shared" si="590"/>
        <v>0</v>
      </c>
      <c r="BD2552" s="93">
        <f t="shared" si="591"/>
        <v>0</v>
      </c>
      <c r="BE2552" s="93">
        <v>0</v>
      </c>
      <c r="BF2552" s="93">
        <f t="shared" si="592"/>
        <v>0</v>
      </c>
      <c r="BH2552" s="93">
        <f t="shared" si="593"/>
        <v>0</v>
      </c>
      <c r="BI2552" s="93">
        <f t="shared" si="594"/>
        <v>0</v>
      </c>
      <c r="BJ2552" s="93">
        <f t="shared" si="595"/>
        <v>0</v>
      </c>
      <c r="BK2552" s="93"/>
      <c r="BL2552" s="93"/>
      <c r="BW2552" s="93" t="str">
        <f t="shared" si="596"/>
        <v>21</v>
      </c>
      <c r="BX2552" s="2" t="s">
        <v>3538</v>
      </c>
    </row>
    <row r="2553" spans="1:76" s="81" customFormat="1" ht="25.5" x14ac:dyDescent="0.25">
      <c r="A2553" s="66" t="s">
        <v>2318</v>
      </c>
      <c r="B2553" s="72" t="s">
        <v>55</v>
      </c>
      <c r="C2553" s="72" t="s">
        <v>3540</v>
      </c>
      <c r="D2553" s="174" t="s">
        <v>3541</v>
      </c>
      <c r="E2553" s="174"/>
      <c r="F2553" s="72" t="s">
        <v>213</v>
      </c>
      <c r="G2553" s="90">
        <v>98</v>
      </c>
      <c r="H2553" s="91"/>
      <c r="I2553" s="92" t="s">
        <v>63</v>
      </c>
      <c r="J2553" s="90">
        <f t="shared" si="569"/>
        <v>0</v>
      </c>
      <c r="K2553" s="90">
        <f t="shared" si="570"/>
        <v>0</v>
      </c>
      <c r="L2553" s="90">
        <f t="shared" si="571"/>
        <v>0</v>
      </c>
      <c r="M2553" s="90">
        <f t="shared" si="572"/>
        <v>0</v>
      </c>
      <c r="N2553" s="90">
        <v>0</v>
      </c>
      <c r="O2553" s="90">
        <f t="shared" si="573"/>
        <v>0</v>
      </c>
      <c r="P2553" s="92" t="s">
        <v>1647</v>
      </c>
      <c r="Z2553" s="93">
        <f t="shared" si="574"/>
        <v>0</v>
      </c>
      <c r="AB2553" s="93">
        <f t="shared" si="575"/>
        <v>0</v>
      </c>
      <c r="AC2553" s="93">
        <f t="shared" si="576"/>
        <v>0</v>
      </c>
      <c r="AD2553" s="93">
        <f t="shared" si="577"/>
        <v>0</v>
      </c>
      <c r="AE2553" s="93">
        <f t="shared" si="578"/>
        <v>0</v>
      </c>
      <c r="AF2553" s="93">
        <f t="shared" si="579"/>
        <v>0</v>
      </c>
      <c r="AG2553" s="93">
        <f t="shared" si="580"/>
        <v>0</v>
      </c>
      <c r="AH2553" s="93">
        <f t="shared" si="581"/>
        <v>0</v>
      </c>
      <c r="AI2553" s="88" t="s">
        <v>55</v>
      </c>
      <c r="AJ2553" s="93">
        <f t="shared" si="582"/>
        <v>0</v>
      </c>
      <c r="AK2553" s="93">
        <f t="shared" si="583"/>
        <v>0</v>
      </c>
      <c r="AL2553" s="93">
        <f t="shared" si="584"/>
        <v>0</v>
      </c>
      <c r="AN2553" s="93">
        <v>21</v>
      </c>
      <c r="AO2553" s="93">
        <f t="shared" si="585"/>
        <v>0</v>
      </c>
      <c r="AP2553" s="93">
        <f t="shared" si="586"/>
        <v>0</v>
      </c>
      <c r="AQ2553" s="94" t="s">
        <v>118</v>
      </c>
      <c r="AV2553" s="93">
        <f t="shared" si="587"/>
        <v>0</v>
      </c>
      <c r="AW2553" s="93">
        <f t="shared" si="588"/>
        <v>0</v>
      </c>
      <c r="AX2553" s="93">
        <f t="shared" si="589"/>
        <v>0</v>
      </c>
      <c r="AY2553" s="94" t="s">
        <v>3494</v>
      </c>
      <c r="AZ2553" s="94" t="s">
        <v>3495</v>
      </c>
      <c r="BA2553" s="88" t="s">
        <v>67</v>
      </c>
      <c r="BC2553" s="93">
        <f t="shared" si="590"/>
        <v>0</v>
      </c>
      <c r="BD2553" s="93">
        <f t="shared" si="591"/>
        <v>0</v>
      </c>
      <c r="BE2553" s="93">
        <v>0</v>
      </c>
      <c r="BF2553" s="93">
        <f t="shared" si="592"/>
        <v>0</v>
      </c>
      <c r="BH2553" s="93">
        <f t="shared" si="593"/>
        <v>0</v>
      </c>
      <c r="BI2553" s="93">
        <f t="shared" si="594"/>
        <v>0</v>
      </c>
      <c r="BJ2553" s="93">
        <f t="shared" si="595"/>
        <v>0</v>
      </c>
      <c r="BK2553" s="93"/>
      <c r="BL2553" s="93"/>
      <c r="BW2553" s="93" t="str">
        <f t="shared" si="596"/>
        <v>21</v>
      </c>
      <c r="BX2553" s="2" t="s">
        <v>3541</v>
      </c>
    </row>
    <row r="2554" spans="1:76" s="81" customFormat="1" ht="25.5" x14ac:dyDescent="0.25">
      <c r="A2554" s="66" t="s">
        <v>2505</v>
      </c>
      <c r="B2554" s="72" t="s">
        <v>55</v>
      </c>
      <c r="C2554" s="72" t="s">
        <v>3543</v>
      </c>
      <c r="D2554" s="174" t="s">
        <v>3544</v>
      </c>
      <c r="E2554" s="174"/>
      <c r="F2554" s="72" t="s">
        <v>213</v>
      </c>
      <c r="G2554" s="90">
        <v>210</v>
      </c>
      <c r="H2554" s="91"/>
      <c r="I2554" s="92" t="s">
        <v>63</v>
      </c>
      <c r="J2554" s="90">
        <f t="shared" si="569"/>
        <v>0</v>
      </c>
      <c r="K2554" s="90">
        <f t="shared" si="570"/>
        <v>0</v>
      </c>
      <c r="L2554" s="90">
        <f t="shared" si="571"/>
        <v>0</v>
      </c>
      <c r="M2554" s="90">
        <f t="shared" si="572"/>
        <v>0</v>
      </c>
      <c r="N2554" s="90">
        <v>0</v>
      </c>
      <c r="O2554" s="90">
        <f t="shared" si="573"/>
        <v>0</v>
      </c>
      <c r="P2554" s="92" t="s">
        <v>1647</v>
      </c>
      <c r="Z2554" s="93">
        <f t="shared" si="574"/>
        <v>0</v>
      </c>
      <c r="AB2554" s="93">
        <f t="shared" si="575"/>
        <v>0</v>
      </c>
      <c r="AC2554" s="93">
        <f t="shared" si="576"/>
        <v>0</v>
      </c>
      <c r="AD2554" s="93">
        <f t="shared" si="577"/>
        <v>0</v>
      </c>
      <c r="AE2554" s="93">
        <f t="shared" si="578"/>
        <v>0</v>
      </c>
      <c r="AF2554" s="93">
        <f t="shared" si="579"/>
        <v>0</v>
      </c>
      <c r="AG2554" s="93">
        <f t="shared" si="580"/>
        <v>0</v>
      </c>
      <c r="AH2554" s="93">
        <f t="shared" si="581"/>
        <v>0</v>
      </c>
      <c r="AI2554" s="88" t="s">
        <v>55</v>
      </c>
      <c r="AJ2554" s="93">
        <f t="shared" si="582"/>
        <v>0</v>
      </c>
      <c r="AK2554" s="93">
        <f t="shared" si="583"/>
        <v>0</v>
      </c>
      <c r="AL2554" s="93">
        <f t="shared" si="584"/>
        <v>0</v>
      </c>
      <c r="AN2554" s="93">
        <v>21</v>
      </c>
      <c r="AO2554" s="93">
        <f t="shared" si="585"/>
        <v>0</v>
      </c>
      <c r="AP2554" s="93">
        <f t="shared" si="586"/>
        <v>0</v>
      </c>
      <c r="AQ2554" s="94" t="s">
        <v>118</v>
      </c>
      <c r="AV2554" s="93">
        <f t="shared" si="587"/>
        <v>0</v>
      </c>
      <c r="AW2554" s="93">
        <f t="shared" si="588"/>
        <v>0</v>
      </c>
      <c r="AX2554" s="93">
        <f t="shared" si="589"/>
        <v>0</v>
      </c>
      <c r="AY2554" s="94" t="s">
        <v>3494</v>
      </c>
      <c r="AZ2554" s="94" t="s">
        <v>3495</v>
      </c>
      <c r="BA2554" s="88" t="s">
        <v>67</v>
      </c>
      <c r="BC2554" s="93">
        <f t="shared" si="590"/>
        <v>0</v>
      </c>
      <c r="BD2554" s="93">
        <f t="shared" si="591"/>
        <v>0</v>
      </c>
      <c r="BE2554" s="93">
        <v>0</v>
      </c>
      <c r="BF2554" s="93">
        <f t="shared" si="592"/>
        <v>0</v>
      </c>
      <c r="BH2554" s="93">
        <f t="shared" si="593"/>
        <v>0</v>
      </c>
      <c r="BI2554" s="93">
        <f t="shared" si="594"/>
        <v>0</v>
      </c>
      <c r="BJ2554" s="93">
        <f t="shared" si="595"/>
        <v>0</v>
      </c>
      <c r="BK2554" s="93"/>
      <c r="BL2554" s="93"/>
      <c r="BW2554" s="93" t="str">
        <f t="shared" si="596"/>
        <v>21</v>
      </c>
      <c r="BX2554" s="2" t="s">
        <v>3544</v>
      </c>
    </row>
    <row r="2555" spans="1:76" s="81" customFormat="1" ht="25.5" x14ac:dyDescent="0.25">
      <c r="A2555" s="66" t="s">
        <v>3559</v>
      </c>
      <c r="B2555" s="72" t="s">
        <v>55</v>
      </c>
      <c r="C2555" s="72" t="s">
        <v>3545</v>
      </c>
      <c r="D2555" s="174" t="s">
        <v>3546</v>
      </c>
      <c r="E2555" s="174"/>
      <c r="F2555" s="72" t="s">
        <v>213</v>
      </c>
      <c r="G2555" s="90">
        <v>2237</v>
      </c>
      <c r="H2555" s="91"/>
      <c r="I2555" s="92" t="s">
        <v>63</v>
      </c>
      <c r="J2555" s="90">
        <f t="shared" si="569"/>
        <v>0</v>
      </c>
      <c r="K2555" s="90">
        <f t="shared" si="570"/>
        <v>0</v>
      </c>
      <c r="L2555" s="90">
        <f t="shared" si="571"/>
        <v>0</v>
      </c>
      <c r="M2555" s="90">
        <f t="shared" si="572"/>
        <v>0</v>
      </c>
      <c r="N2555" s="90">
        <v>0</v>
      </c>
      <c r="O2555" s="90">
        <f t="shared" si="573"/>
        <v>0</v>
      </c>
      <c r="P2555" s="92" t="s">
        <v>1647</v>
      </c>
      <c r="Z2555" s="93">
        <f t="shared" si="574"/>
        <v>0</v>
      </c>
      <c r="AB2555" s="93">
        <f t="shared" si="575"/>
        <v>0</v>
      </c>
      <c r="AC2555" s="93">
        <f t="shared" si="576"/>
        <v>0</v>
      </c>
      <c r="AD2555" s="93">
        <f t="shared" si="577"/>
        <v>0</v>
      </c>
      <c r="AE2555" s="93">
        <f t="shared" si="578"/>
        <v>0</v>
      </c>
      <c r="AF2555" s="93">
        <f t="shared" si="579"/>
        <v>0</v>
      </c>
      <c r="AG2555" s="93">
        <f t="shared" si="580"/>
        <v>0</v>
      </c>
      <c r="AH2555" s="93">
        <f t="shared" si="581"/>
        <v>0</v>
      </c>
      <c r="AI2555" s="88" t="s">
        <v>55</v>
      </c>
      <c r="AJ2555" s="93">
        <f t="shared" si="582"/>
        <v>0</v>
      </c>
      <c r="AK2555" s="93">
        <f t="shared" si="583"/>
        <v>0</v>
      </c>
      <c r="AL2555" s="93">
        <f t="shared" si="584"/>
        <v>0</v>
      </c>
      <c r="AN2555" s="93">
        <v>21</v>
      </c>
      <c r="AO2555" s="93">
        <f t="shared" si="585"/>
        <v>0</v>
      </c>
      <c r="AP2555" s="93">
        <f t="shared" si="586"/>
        <v>0</v>
      </c>
      <c r="AQ2555" s="94" t="s">
        <v>118</v>
      </c>
      <c r="AV2555" s="93">
        <f t="shared" si="587"/>
        <v>0</v>
      </c>
      <c r="AW2555" s="93">
        <f t="shared" si="588"/>
        <v>0</v>
      </c>
      <c r="AX2555" s="93">
        <f t="shared" si="589"/>
        <v>0</v>
      </c>
      <c r="AY2555" s="94" t="s">
        <v>3494</v>
      </c>
      <c r="AZ2555" s="94" t="s">
        <v>3495</v>
      </c>
      <c r="BA2555" s="88" t="s">
        <v>67</v>
      </c>
      <c r="BC2555" s="93">
        <f t="shared" si="590"/>
        <v>0</v>
      </c>
      <c r="BD2555" s="93">
        <f t="shared" si="591"/>
        <v>0</v>
      </c>
      <c r="BE2555" s="93">
        <v>0</v>
      </c>
      <c r="BF2555" s="93">
        <f t="shared" si="592"/>
        <v>0</v>
      </c>
      <c r="BH2555" s="93">
        <f t="shared" si="593"/>
        <v>0</v>
      </c>
      <c r="BI2555" s="93">
        <f t="shared" si="594"/>
        <v>0</v>
      </c>
      <c r="BJ2555" s="93">
        <f t="shared" si="595"/>
        <v>0</v>
      </c>
      <c r="BK2555" s="93"/>
      <c r="BL2555" s="93"/>
      <c r="BW2555" s="93" t="str">
        <f t="shared" si="596"/>
        <v>21</v>
      </c>
      <c r="BX2555" s="2" t="s">
        <v>3546</v>
      </c>
    </row>
    <row r="2556" spans="1:76" s="81" customFormat="1" ht="25.5" x14ac:dyDescent="0.25">
      <c r="A2556" s="66" t="s">
        <v>3562</v>
      </c>
      <c r="B2556" s="72" t="s">
        <v>55</v>
      </c>
      <c r="C2556" s="72" t="s">
        <v>3548</v>
      </c>
      <c r="D2556" s="174" t="s">
        <v>3549</v>
      </c>
      <c r="E2556" s="174"/>
      <c r="F2556" s="72" t="s">
        <v>213</v>
      </c>
      <c r="G2556" s="90">
        <v>1575</v>
      </c>
      <c r="H2556" s="91"/>
      <c r="I2556" s="92" t="s">
        <v>63</v>
      </c>
      <c r="J2556" s="90">
        <f t="shared" si="569"/>
        <v>0</v>
      </c>
      <c r="K2556" s="90">
        <f t="shared" si="570"/>
        <v>0</v>
      </c>
      <c r="L2556" s="90">
        <f t="shared" si="571"/>
        <v>0</v>
      </c>
      <c r="M2556" s="90">
        <f t="shared" si="572"/>
        <v>0</v>
      </c>
      <c r="N2556" s="90">
        <v>0</v>
      </c>
      <c r="O2556" s="90">
        <f t="shared" si="573"/>
        <v>0</v>
      </c>
      <c r="P2556" s="92" t="s">
        <v>1647</v>
      </c>
      <c r="Z2556" s="93">
        <f t="shared" si="574"/>
        <v>0</v>
      </c>
      <c r="AB2556" s="93">
        <f t="shared" si="575"/>
        <v>0</v>
      </c>
      <c r="AC2556" s="93">
        <f t="shared" si="576"/>
        <v>0</v>
      </c>
      <c r="AD2556" s="93">
        <f t="shared" si="577"/>
        <v>0</v>
      </c>
      <c r="AE2556" s="93">
        <f t="shared" si="578"/>
        <v>0</v>
      </c>
      <c r="AF2556" s="93">
        <f t="shared" si="579"/>
        <v>0</v>
      </c>
      <c r="AG2556" s="93">
        <f t="shared" si="580"/>
        <v>0</v>
      </c>
      <c r="AH2556" s="93">
        <f t="shared" si="581"/>
        <v>0</v>
      </c>
      <c r="AI2556" s="88" t="s">
        <v>55</v>
      </c>
      <c r="AJ2556" s="93">
        <f t="shared" si="582"/>
        <v>0</v>
      </c>
      <c r="AK2556" s="93">
        <f t="shared" si="583"/>
        <v>0</v>
      </c>
      <c r="AL2556" s="93">
        <f t="shared" si="584"/>
        <v>0</v>
      </c>
      <c r="AN2556" s="93">
        <v>21</v>
      </c>
      <c r="AO2556" s="93">
        <f t="shared" si="585"/>
        <v>0</v>
      </c>
      <c r="AP2556" s="93">
        <f t="shared" si="586"/>
        <v>0</v>
      </c>
      <c r="AQ2556" s="94" t="s">
        <v>118</v>
      </c>
      <c r="AV2556" s="93">
        <f t="shared" si="587"/>
        <v>0</v>
      </c>
      <c r="AW2556" s="93">
        <f t="shared" si="588"/>
        <v>0</v>
      </c>
      <c r="AX2556" s="93">
        <f t="shared" si="589"/>
        <v>0</v>
      </c>
      <c r="AY2556" s="94" t="s">
        <v>3494</v>
      </c>
      <c r="AZ2556" s="94" t="s">
        <v>3495</v>
      </c>
      <c r="BA2556" s="88" t="s">
        <v>67</v>
      </c>
      <c r="BC2556" s="93">
        <f t="shared" si="590"/>
        <v>0</v>
      </c>
      <c r="BD2556" s="93">
        <f t="shared" si="591"/>
        <v>0</v>
      </c>
      <c r="BE2556" s="93">
        <v>0</v>
      </c>
      <c r="BF2556" s="93">
        <f t="shared" si="592"/>
        <v>0</v>
      </c>
      <c r="BH2556" s="93">
        <f t="shared" si="593"/>
        <v>0</v>
      </c>
      <c r="BI2556" s="93">
        <f t="shared" si="594"/>
        <v>0</v>
      </c>
      <c r="BJ2556" s="93">
        <f t="shared" si="595"/>
        <v>0</v>
      </c>
      <c r="BK2556" s="93"/>
      <c r="BL2556" s="93"/>
      <c r="BW2556" s="93" t="str">
        <f t="shared" si="596"/>
        <v>21</v>
      </c>
      <c r="BX2556" s="2" t="s">
        <v>3549</v>
      </c>
    </row>
    <row r="2557" spans="1:76" s="81" customFormat="1" ht="25.5" x14ac:dyDescent="0.25">
      <c r="A2557" s="66" t="s">
        <v>3565</v>
      </c>
      <c r="B2557" s="72" t="s">
        <v>55</v>
      </c>
      <c r="C2557" s="72" t="s">
        <v>3550</v>
      </c>
      <c r="D2557" s="174" t="s">
        <v>3551</v>
      </c>
      <c r="E2557" s="174"/>
      <c r="F2557" s="72" t="s">
        <v>213</v>
      </c>
      <c r="G2557" s="90">
        <v>416</v>
      </c>
      <c r="H2557" s="91"/>
      <c r="I2557" s="92" t="s">
        <v>63</v>
      </c>
      <c r="J2557" s="90">
        <f t="shared" si="569"/>
        <v>0</v>
      </c>
      <c r="K2557" s="90">
        <f t="shared" si="570"/>
        <v>0</v>
      </c>
      <c r="L2557" s="90">
        <f t="shared" si="571"/>
        <v>0</v>
      </c>
      <c r="M2557" s="90">
        <f t="shared" si="572"/>
        <v>0</v>
      </c>
      <c r="N2557" s="90">
        <v>0</v>
      </c>
      <c r="O2557" s="90">
        <f t="shared" si="573"/>
        <v>0</v>
      </c>
      <c r="P2557" s="92" t="s">
        <v>1647</v>
      </c>
      <c r="Z2557" s="93">
        <f t="shared" si="574"/>
        <v>0</v>
      </c>
      <c r="AB2557" s="93">
        <f t="shared" si="575"/>
        <v>0</v>
      </c>
      <c r="AC2557" s="93">
        <f t="shared" si="576"/>
        <v>0</v>
      </c>
      <c r="AD2557" s="93">
        <f t="shared" si="577"/>
        <v>0</v>
      </c>
      <c r="AE2557" s="93">
        <f t="shared" si="578"/>
        <v>0</v>
      </c>
      <c r="AF2557" s="93">
        <f t="shared" si="579"/>
        <v>0</v>
      </c>
      <c r="AG2557" s="93">
        <f t="shared" si="580"/>
        <v>0</v>
      </c>
      <c r="AH2557" s="93">
        <f t="shared" si="581"/>
        <v>0</v>
      </c>
      <c r="AI2557" s="88" t="s">
        <v>55</v>
      </c>
      <c r="AJ2557" s="93">
        <f t="shared" si="582"/>
        <v>0</v>
      </c>
      <c r="AK2557" s="93">
        <f t="shared" si="583"/>
        <v>0</v>
      </c>
      <c r="AL2557" s="93">
        <f t="shared" si="584"/>
        <v>0</v>
      </c>
      <c r="AN2557" s="93">
        <v>21</v>
      </c>
      <c r="AO2557" s="93">
        <f t="shared" si="585"/>
        <v>0</v>
      </c>
      <c r="AP2557" s="93">
        <f t="shared" si="586"/>
        <v>0</v>
      </c>
      <c r="AQ2557" s="94" t="s">
        <v>118</v>
      </c>
      <c r="AV2557" s="93">
        <f t="shared" si="587"/>
        <v>0</v>
      </c>
      <c r="AW2557" s="93">
        <f t="shared" si="588"/>
        <v>0</v>
      </c>
      <c r="AX2557" s="93">
        <f t="shared" si="589"/>
        <v>0</v>
      </c>
      <c r="AY2557" s="94" t="s">
        <v>3494</v>
      </c>
      <c r="AZ2557" s="94" t="s">
        <v>3495</v>
      </c>
      <c r="BA2557" s="88" t="s">
        <v>67</v>
      </c>
      <c r="BC2557" s="93">
        <f t="shared" si="590"/>
        <v>0</v>
      </c>
      <c r="BD2557" s="93">
        <f t="shared" si="591"/>
        <v>0</v>
      </c>
      <c r="BE2557" s="93">
        <v>0</v>
      </c>
      <c r="BF2557" s="93">
        <f t="shared" si="592"/>
        <v>0</v>
      </c>
      <c r="BH2557" s="93">
        <f t="shared" si="593"/>
        <v>0</v>
      </c>
      <c r="BI2557" s="93">
        <f t="shared" si="594"/>
        <v>0</v>
      </c>
      <c r="BJ2557" s="93">
        <f t="shared" si="595"/>
        <v>0</v>
      </c>
      <c r="BK2557" s="93"/>
      <c r="BL2557" s="93"/>
      <c r="BW2557" s="93" t="str">
        <f t="shared" si="596"/>
        <v>21</v>
      </c>
      <c r="BX2557" s="2" t="s">
        <v>3551</v>
      </c>
    </row>
    <row r="2558" spans="1:76" s="81" customFormat="1" ht="25.5" x14ac:dyDescent="0.25">
      <c r="A2558" s="66" t="s">
        <v>2699</v>
      </c>
      <c r="B2558" s="72" t="s">
        <v>55</v>
      </c>
      <c r="C2558" s="72" t="s">
        <v>3553</v>
      </c>
      <c r="D2558" s="174" t="s">
        <v>3554</v>
      </c>
      <c r="E2558" s="174"/>
      <c r="F2558" s="72" t="s">
        <v>213</v>
      </c>
      <c r="G2558" s="90">
        <v>492</v>
      </c>
      <c r="H2558" s="91"/>
      <c r="I2558" s="92" t="s">
        <v>63</v>
      </c>
      <c r="J2558" s="90">
        <f t="shared" si="569"/>
        <v>0</v>
      </c>
      <c r="K2558" s="90">
        <f t="shared" si="570"/>
        <v>0</v>
      </c>
      <c r="L2558" s="90">
        <f t="shared" si="571"/>
        <v>0</v>
      </c>
      <c r="M2558" s="90">
        <f t="shared" si="572"/>
        <v>0</v>
      </c>
      <c r="N2558" s="90">
        <v>0</v>
      </c>
      <c r="O2558" s="90">
        <f t="shared" si="573"/>
        <v>0</v>
      </c>
      <c r="P2558" s="92" t="s">
        <v>1647</v>
      </c>
      <c r="Z2558" s="93">
        <f t="shared" si="574"/>
        <v>0</v>
      </c>
      <c r="AB2558" s="93">
        <f t="shared" si="575"/>
        <v>0</v>
      </c>
      <c r="AC2558" s="93">
        <f t="shared" si="576"/>
        <v>0</v>
      </c>
      <c r="AD2558" s="93">
        <f t="shared" si="577"/>
        <v>0</v>
      </c>
      <c r="AE2558" s="93">
        <f t="shared" si="578"/>
        <v>0</v>
      </c>
      <c r="AF2558" s="93">
        <f t="shared" si="579"/>
        <v>0</v>
      </c>
      <c r="AG2558" s="93">
        <f t="shared" si="580"/>
        <v>0</v>
      </c>
      <c r="AH2558" s="93">
        <f t="shared" si="581"/>
        <v>0</v>
      </c>
      <c r="AI2558" s="88" t="s">
        <v>55</v>
      </c>
      <c r="AJ2558" s="93">
        <f t="shared" si="582"/>
        <v>0</v>
      </c>
      <c r="AK2558" s="93">
        <f t="shared" si="583"/>
        <v>0</v>
      </c>
      <c r="AL2558" s="93">
        <f t="shared" si="584"/>
        <v>0</v>
      </c>
      <c r="AN2558" s="93">
        <v>21</v>
      </c>
      <c r="AO2558" s="93">
        <f t="shared" si="585"/>
        <v>0</v>
      </c>
      <c r="AP2558" s="93">
        <f t="shared" si="586"/>
        <v>0</v>
      </c>
      <c r="AQ2558" s="94" t="s">
        <v>118</v>
      </c>
      <c r="AV2558" s="93">
        <f t="shared" si="587"/>
        <v>0</v>
      </c>
      <c r="AW2558" s="93">
        <f t="shared" si="588"/>
        <v>0</v>
      </c>
      <c r="AX2558" s="93">
        <f t="shared" si="589"/>
        <v>0</v>
      </c>
      <c r="AY2558" s="94" t="s">
        <v>3494</v>
      </c>
      <c r="AZ2558" s="94" t="s">
        <v>3495</v>
      </c>
      <c r="BA2558" s="88" t="s">
        <v>67</v>
      </c>
      <c r="BC2558" s="93">
        <f t="shared" si="590"/>
        <v>0</v>
      </c>
      <c r="BD2558" s="93">
        <f t="shared" si="591"/>
        <v>0</v>
      </c>
      <c r="BE2558" s="93">
        <v>0</v>
      </c>
      <c r="BF2558" s="93">
        <f t="shared" si="592"/>
        <v>0</v>
      </c>
      <c r="BH2558" s="93">
        <f t="shared" si="593"/>
        <v>0</v>
      </c>
      <c r="BI2558" s="93">
        <f t="shared" si="594"/>
        <v>0</v>
      </c>
      <c r="BJ2558" s="93">
        <f t="shared" si="595"/>
        <v>0</v>
      </c>
      <c r="BK2558" s="93"/>
      <c r="BL2558" s="93"/>
      <c r="BW2558" s="93" t="str">
        <f t="shared" si="596"/>
        <v>21</v>
      </c>
      <c r="BX2558" s="2" t="s">
        <v>3554</v>
      </c>
    </row>
    <row r="2559" spans="1:76" s="81" customFormat="1" ht="25.5" x14ac:dyDescent="0.25">
      <c r="A2559" s="66" t="s">
        <v>3570</v>
      </c>
      <c r="B2559" s="72" t="s">
        <v>55</v>
      </c>
      <c r="C2559" s="72" t="s">
        <v>3555</v>
      </c>
      <c r="D2559" s="174" t="s">
        <v>3556</v>
      </c>
      <c r="E2559" s="174"/>
      <c r="F2559" s="72" t="s">
        <v>213</v>
      </c>
      <c r="G2559" s="90">
        <v>280</v>
      </c>
      <c r="H2559" s="91"/>
      <c r="I2559" s="92" t="s">
        <v>63</v>
      </c>
      <c r="J2559" s="90">
        <f t="shared" si="569"/>
        <v>0</v>
      </c>
      <c r="K2559" s="90">
        <f t="shared" si="570"/>
        <v>0</v>
      </c>
      <c r="L2559" s="90">
        <f t="shared" si="571"/>
        <v>0</v>
      </c>
      <c r="M2559" s="90">
        <f t="shared" si="572"/>
        <v>0</v>
      </c>
      <c r="N2559" s="90">
        <v>0</v>
      </c>
      <c r="O2559" s="90">
        <f t="shared" si="573"/>
        <v>0</v>
      </c>
      <c r="P2559" s="92" t="s">
        <v>1647</v>
      </c>
      <c r="Z2559" s="93">
        <f t="shared" si="574"/>
        <v>0</v>
      </c>
      <c r="AB2559" s="93">
        <f t="shared" si="575"/>
        <v>0</v>
      </c>
      <c r="AC2559" s="93">
        <f t="shared" si="576"/>
        <v>0</v>
      </c>
      <c r="AD2559" s="93">
        <f t="shared" si="577"/>
        <v>0</v>
      </c>
      <c r="AE2559" s="93">
        <f t="shared" si="578"/>
        <v>0</v>
      </c>
      <c r="AF2559" s="93">
        <f t="shared" si="579"/>
        <v>0</v>
      </c>
      <c r="AG2559" s="93">
        <f t="shared" si="580"/>
        <v>0</v>
      </c>
      <c r="AH2559" s="93">
        <f t="shared" si="581"/>
        <v>0</v>
      </c>
      <c r="AI2559" s="88" t="s">
        <v>55</v>
      </c>
      <c r="AJ2559" s="93">
        <f t="shared" si="582"/>
        <v>0</v>
      </c>
      <c r="AK2559" s="93">
        <f t="shared" si="583"/>
        <v>0</v>
      </c>
      <c r="AL2559" s="93">
        <f t="shared" si="584"/>
        <v>0</v>
      </c>
      <c r="AN2559" s="93">
        <v>21</v>
      </c>
      <c r="AO2559" s="93">
        <f t="shared" si="585"/>
        <v>0</v>
      </c>
      <c r="AP2559" s="93">
        <f t="shared" si="586"/>
        <v>0</v>
      </c>
      <c r="AQ2559" s="94" t="s">
        <v>118</v>
      </c>
      <c r="AV2559" s="93">
        <f t="shared" si="587"/>
        <v>0</v>
      </c>
      <c r="AW2559" s="93">
        <f t="shared" si="588"/>
        <v>0</v>
      </c>
      <c r="AX2559" s="93">
        <f t="shared" si="589"/>
        <v>0</v>
      </c>
      <c r="AY2559" s="94" t="s">
        <v>3494</v>
      </c>
      <c r="AZ2559" s="94" t="s">
        <v>3495</v>
      </c>
      <c r="BA2559" s="88" t="s">
        <v>67</v>
      </c>
      <c r="BC2559" s="93">
        <f t="shared" si="590"/>
        <v>0</v>
      </c>
      <c r="BD2559" s="93">
        <f t="shared" si="591"/>
        <v>0</v>
      </c>
      <c r="BE2559" s="93">
        <v>0</v>
      </c>
      <c r="BF2559" s="93">
        <f t="shared" si="592"/>
        <v>0</v>
      </c>
      <c r="BH2559" s="93">
        <f t="shared" si="593"/>
        <v>0</v>
      </c>
      <c r="BI2559" s="93">
        <f t="shared" si="594"/>
        <v>0</v>
      </c>
      <c r="BJ2559" s="93">
        <f t="shared" si="595"/>
        <v>0</v>
      </c>
      <c r="BK2559" s="93"/>
      <c r="BL2559" s="93"/>
      <c r="BW2559" s="93" t="str">
        <f t="shared" si="596"/>
        <v>21</v>
      </c>
      <c r="BX2559" s="2" t="s">
        <v>3556</v>
      </c>
    </row>
    <row r="2560" spans="1:76" s="81" customFormat="1" ht="25.5" x14ac:dyDescent="0.25">
      <c r="A2560" s="66" t="s">
        <v>3573</v>
      </c>
      <c r="B2560" s="72" t="s">
        <v>55</v>
      </c>
      <c r="C2560" s="72" t="s">
        <v>3557</v>
      </c>
      <c r="D2560" s="174" t="s">
        <v>3558</v>
      </c>
      <c r="E2560" s="174"/>
      <c r="F2560" s="72" t="s">
        <v>213</v>
      </c>
      <c r="G2560" s="90">
        <v>78</v>
      </c>
      <c r="H2560" s="91"/>
      <c r="I2560" s="92" t="s">
        <v>63</v>
      </c>
      <c r="J2560" s="90">
        <f t="shared" si="569"/>
        <v>0</v>
      </c>
      <c r="K2560" s="90">
        <f t="shared" si="570"/>
        <v>0</v>
      </c>
      <c r="L2560" s="90">
        <f t="shared" si="571"/>
        <v>0</v>
      </c>
      <c r="M2560" s="90">
        <f t="shared" si="572"/>
        <v>0</v>
      </c>
      <c r="N2560" s="90">
        <v>0</v>
      </c>
      <c r="O2560" s="90">
        <f t="shared" si="573"/>
        <v>0</v>
      </c>
      <c r="P2560" s="92" t="s">
        <v>1647</v>
      </c>
      <c r="Z2560" s="93">
        <f t="shared" si="574"/>
        <v>0</v>
      </c>
      <c r="AB2560" s="93">
        <f t="shared" si="575"/>
        <v>0</v>
      </c>
      <c r="AC2560" s="93">
        <f t="shared" si="576"/>
        <v>0</v>
      </c>
      <c r="AD2560" s="93">
        <f t="shared" si="577"/>
        <v>0</v>
      </c>
      <c r="AE2560" s="93">
        <f t="shared" si="578"/>
        <v>0</v>
      </c>
      <c r="AF2560" s="93">
        <f t="shared" si="579"/>
        <v>0</v>
      </c>
      <c r="AG2560" s="93">
        <f t="shared" si="580"/>
        <v>0</v>
      </c>
      <c r="AH2560" s="93">
        <f t="shared" si="581"/>
        <v>0</v>
      </c>
      <c r="AI2560" s="88" t="s">
        <v>55</v>
      </c>
      <c r="AJ2560" s="93">
        <f t="shared" si="582"/>
        <v>0</v>
      </c>
      <c r="AK2560" s="93">
        <f t="shared" si="583"/>
        <v>0</v>
      </c>
      <c r="AL2560" s="93">
        <f t="shared" si="584"/>
        <v>0</v>
      </c>
      <c r="AN2560" s="93">
        <v>21</v>
      </c>
      <c r="AO2560" s="93">
        <f t="shared" si="585"/>
        <v>0</v>
      </c>
      <c r="AP2560" s="93">
        <f t="shared" si="586"/>
        <v>0</v>
      </c>
      <c r="AQ2560" s="94" t="s">
        <v>118</v>
      </c>
      <c r="AV2560" s="93">
        <f t="shared" si="587"/>
        <v>0</v>
      </c>
      <c r="AW2560" s="93">
        <f t="shared" si="588"/>
        <v>0</v>
      </c>
      <c r="AX2560" s="93">
        <f t="shared" si="589"/>
        <v>0</v>
      </c>
      <c r="AY2560" s="94" t="s">
        <v>3494</v>
      </c>
      <c r="AZ2560" s="94" t="s">
        <v>3495</v>
      </c>
      <c r="BA2560" s="88" t="s">
        <v>67</v>
      </c>
      <c r="BC2560" s="93">
        <f t="shared" si="590"/>
        <v>0</v>
      </c>
      <c r="BD2560" s="93">
        <f t="shared" si="591"/>
        <v>0</v>
      </c>
      <c r="BE2560" s="93">
        <v>0</v>
      </c>
      <c r="BF2560" s="93">
        <f t="shared" si="592"/>
        <v>0</v>
      </c>
      <c r="BH2560" s="93">
        <f t="shared" si="593"/>
        <v>0</v>
      </c>
      <c r="BI2560" s="93">
        <f t="shared" si="594"/>
        <v>0</v>
      </c>
      <c r="BJ2560" s="93">
        <f t="shared" si="595"/>
        <v>0</v>
      </c>
      <c r="BK2560" s="93"/>
      <c r="BL2560" s="93"/>
      <c r="BW2560" s="93" t="str">
        <f t="shared" si="596"/>
        <v>21</v>
      </c>
      <c r="BX2560" s="2" t="s">
        <v>3558</v>
      </c>
    </row>
    <row r="2561" spans="1:76" s="81" customFormat="1" ht="25.5" x14ac:dyDescent="0.25">
      <c r="A2561" s="66" t="s">
        <v>3576</v>
      </c>
      <c r="B2561" s="72" t="s">
        <v>55</v>
      </c>
      <c r="C2561" s="72" t="s">
        <v>3560</v>
      </c>
      <c r="D2561" s="174" t="s">
        <v>3561</v>
      </c>
      <c r="E2561" s="174"/>
      <c r="F2561" s="72" t="s">
        <v>213</v>
      </c>
      <c r="G2561" s="90">
        <v>211</v>
      </c>
      <c r="H2561" s="91"/>
      <c r="I2561" s="92" t="s">
        <v>63</v>
      </c>
      <c r="J2561" s="90">
        <f t="shared" si="569"/>
        <v>0</v>
      </c>
      <c r="K2561" s="90">
        <f t="shared" si="570"/>
        <v>0</v>
      </c>
      <c r="L2561" s="90">
        <f t="shared" si="571"/>
        <v>0</v>
      </c>
      <c r="M2561" s="90">
        <f t="shared" si="572"/>
        <v>0</v>
      </c>
      <c r="N2561" s="90">
        <v>0</v>
      </c>
      <c r="O2561" s="90">
        <f t="shared" si="573"/>
        <v>0</v>
      </c>
      <c r="P2561" s="92" t="s">
        <v>1647</v>
      </c>
      <c r="Z2561" s="93">
        <f t="shared" si="574"/>
        <v>0</v>
      </c>
      <c r="AB2561" s="93">
        <f t="shared" si="575"/>
        <v>0</v>
      </c>
      <c r="AC2561" s="93">
        <f t="shared" si="576"/>
        <v>0</v>
      </c>
      <c r="AD2561" s="93">
        <f t="shared" si="577"/>
        <v>0</v>
      </c>
      <c r="AE2561" s="93">
        <f t="shared" si="578"/>
        <v>0</v>
      </c>
      <c r="AF2561" s="93">
        <f t="shared" si="579"/>
        <v>0</v>
      </c>
      <c r="AG2561" s="93">
        <f t="shared" si="580"/>
        <v>0</v>
      </c>
      <c r="AH2561" s="93">
        <f t="shared" si="581"/>
        <v>0</v>
      </c>
      <c r="AI2561" s="88" t="s">
        <v>55</v>
      </c>
      <c r="AJ2561" s="93">
        <f t="shared" si="582"/>
        <v>0</v>
      </c>
      <c r="AK2561" s="93">
        <f t="shared" si="583"/>
        <v>0</v>
      </c>
      <c r="AL2561" s="93">
        <f t="shared" si="584"/>
        <v>0</v>
      </c>
      <c r="AN2561" s="93">
        <v>21</v>
      </c>
      <c r="AO2561" s="93">
        <f t="shared" si="585"/>
        <v>0</v>
      </c>
      <c r="AP2561" s="93">
        <f t="shared" si="586"/>
        <v>0</v>
      </c>
      <c r="AQ2561" s="94" t="s">
        <v>118</v>
      </c>
      <c r="AV2561" s="93">
        <f t="shared" si="587"/>
        <v>0</v>
      </c>
      <c r="AW2561" s="93">
        <f t="shared" si="588"/>
        <v>0</v>
      </c>
      <c r="AX2561" s="93">
        <f t="shared" si="589"/>
        <v>0</v>
      </c>
      <c r="AY2561" s="94" t="s">
        <v>3494</v>
      </c>
      <c r="AZ2561" s="94" t="s">
        <v>3495</v>
      </c>
      <c r="BA2561" s="88" t="s">
        <v>67</v>
      </c>
      <c r="BC2561" s="93">
        <f t="shared" si="590"/>
        <v>0</v>
      </c>
      <c r="BD2561" s="93">
        <f t="shared" si="591"/>
        <v>0</v>
      </c>
      <c r="BE2561" s="93">
        <v>0</v>
      </c>
      <c r="BF2561" s="93">
        <f t="shared" si="592"/>
        <v>0</v>
      </c>
      <c r="BH2561" s="93">
        <f t="shared" si="593"/>
        <v>0</v>
      </c>
      <c r="BI2561" s="93">
        <f t="shared" si="594"/>
        <v>0</v>
      </c>
      <c r="BJ2561" s="93">
        <f t="shared" si="595"/>
        <v>0</v>
      </c>
      <c r="BK2561" s="93"/>
      <c r="BL2561" s="93"/>
      <c r="BW2561" s="93" t="str">
        <f t="shared" si="596"/>
        <v>21</v>
      </c>
      <c r="BX2561" s="2" t="s">
        <v>3561</v>
      </c>
    </row>
    <row r="2562" spans="1:76" s="81" customFormat="1" ht="25.5" x14ac:dyDescent="0.25">
      <c r="A2562" s="66" t="s">
        <v>3579</v>
      </c>
      <c r="B2562" s="72" t="s">
        <v>55</v>
      </c>
      <c r="C2562" s="72" t="s">
        <v>3563</v>
      </c>
      <c r="D2562" s="174" t="s">
        <v>3564</v>
      </c>
      <c r="E2562" s="174"/>
      <c r="F2562" s="72" t="s">
        <v>213</v>
      </c>
      <c r="G2562" s="90">
        <v>187</v>
      </c>
      <c r="H2562" s="91"/>
      <c r="I2562" s="92" t="s">
        <v>63</v>
      </c>
      <c r="J2562" s="90">
        <f t="shared" si="569"/>
        <v>0</v>
      </c>
      <c r="K2562" s="90">
        <f t="shared" si="570"/>
        <v>0</v>
      </c>
      <c r="L2562" s="90">
        <f t="shared" si="571"/>
        <v>0</v>
      </c>
      <c r="M2562" s="90">
        <f t="shared" si="572"/>
        <v>0</v>
      </c>
      <c r="N2562" s="90">
        <v>0</v>
      </c>
      <c r="O2562" s="90">
        <f t="shared" si="573"/>
        <v>0</v>
      </c>
      <c r="P2562" s="92" t="s">
        <v>1647</v>
      </c>
      <c r="Z2562" s="93">
        <f t="shared" si="574"/>
        <v>0</v>
      </c>
      <c r="AB2562" s="93">
        <f t="shared" si="575"/>
        <v>0</v>
      </c>
      <c r="AC2562" s="93">
        <f t="shared" si="576"/>
        <v>0</v>
      </c>
      <c r="AD2562" s="93">
        <f t="shared" si="577"/>
        <v>0</v>
      </c>
      <c r="AE2562" s="93">
        <f t="shared" si="578"/>
        <v>0</v>
      </c>
      <c r="AF2562" s="93">
        <f t="shared" si="579"/>
        <v>0</v>
      </c>
      <c r="AG2562" s="93">
        <f t="shared" si="580"/>
        <v>0</v>
      </c>
      <c r="AH2562" s="93">
        <f t="shared" si="581"/>
        <v>0</v>
      </c>
      <c r="AI2562" s="88" t="s">
        <v>55</v>
      </c>
      <c r="AJ2562" s="93">
        <f t="shared" si="582"/>
        <v>0</v>
      </c>
      <c r="AK2562" s="93">
        <f t="shared" si="583"/>
        <v>0</v>
      </c>
      <c r="AL2562" s="93">
        <f t="shared" si="584"/>
        <v>0</v>
      </c>
      <c r="AN2562" s="93">
        <v>21</v>
      </c>
      <c r="AO2562" s="93">
        <f t="shared" si="585"/>
        <v>0</v>
      </c>
      <c r="AP2562" s="93">
        <f t="shared" si="586"/>
        <v>0</v>
      </c>
      <c r="AQ2562" s="94" t="s">
        <v>118</v>
      </c>
      <c r="AV2562" s="93">
        <f t="shared" si="587"/>
        <v>0</v>
      </c>
      <c r="AW2562" s="93">
        <f t="shared" si="588"/>
        <v>0</v>
      </c>
      <c r="AX2562" s="93">
        <f t="shared" si="589"/>
        <v>0</v>
      </c>
      <c r="AY2562" s="94" t="s">
        <v>3494</v>
      </c>
      <c r="AZ2562" s="94" t="s">
        <v>3495</v>
      </c>
      <c r="BA2562" s="88" t="s">
        <v>67</v>
      </c>
      <c r="BC2562" s="93">
        <f t="shared" si="590"/>
        <v>0</v>
      </c>
      <c r="BD2562" s="93">
        <f t="shared" si="591"/>
        <v>0</v>
      </c>
      <c r="BE2562" s="93">
        <v>0</v>
      </c>
      <c r="BF2562" s="93">
        <f t="shared" si="592"/>
        <v>0</v>
      </c>
      <c r="BH2562" s="93">
        <f t="shared" si="593"/>
        <v>0</v>
      </c>
      <c r="BI2562" s="93">
        <f t="shared" si="594"/>
        <v>0</v>
      </c>
      <c r="BJ2562" s="93">
        <f t="shared" si="595"/>
        <v>0</v>
      </c>
      <c r="BK2562" s="93"/>
      <c r="BL2562" s="93"/>
      <c r="BW2562" s="93" t="str">
        <f t="shared" si="596"/>
        <v>21</v>
      </c>
      <c r="BX2562" s="2" t="s">
        <v>3564</v>
      </c>
    </row>
    <row r="2563" spans="1:76" s="81" customFormat="1" ht="25.5" x14ac:dyDescent="0.25">
      <c r="A2563" s="66" t="s">
        <v>2736</v>
      </c>
      <c r="B2563" s="72" t="s">
        <v>55</v>
      </c>
      <c r="C2563" s="72" t="s">
        <v>3566</v>
      </c>
      <c r="D2563" s="174" t="s">
        <v>3567</v>
      </c>
      <c r="E2563" s="174"/>
      <c r="F2563" s="72" t="s">
        <v>213</v>
      </c>
      <c r="G2563" s="90">
        <v>128</v>
      </c>
      <c r="H2563" s="91"/>
      <c r="I2563" s="92" t="s">
        <v>63</v>
      </c>
      <c r="J2563" s="90">
        <f t="shared" si="569"/>
        <v>0</v>
      </c>
      <c r="K2563" s="90">
        <f t="shared" si="570"/>
        <v>0</v>
      </c>
      <c r="L2563" s="90">
        <f t="shared" si="571"/>
        <v>0</v>
      </c>
      <c r="M2563" s="90">
        <f t="shared" si="572"/>
        <v>0</v>
      </c>
      <c r="N2563" s="90">
        <v>0</v>
      </c>
      <c r="O2563" s="90">
        <f t="shared" si="573"/>
        <v>0</v>
      </c>
      <c r="P2563" s="92" t="s">
        <v>1647</v>
      </c>
      <c r="Z2563" s="93">
        <f t="shared" si="574"/>
        <v>0</v>
      </c>
      <c r="AB2563" s="93">
        <f t="shared" si="575"/>
        <v>0</v>
      </c>
      <c r="AC2563" s="93">
        <f t="shared" si="576"/>
        <v>0</v>
      </c>
      <c r="AD2563" s="93">
        <f t="shared" si="577"/>
        <v>0</v>
      </c>
      <c r="AE2563" s="93">
        <f t="shared" si="578"/>
        <v>0</v>
      </c>
      <c r="AF2563" s="93">
        <f t="shared" si="579"/>
        <v>0</v>
      </c>
      <c r="AG2563" s="93">
        <f t="shared" si="580"/>
        <v>0</v>
      </c>
      <c r="AH2563" s="93">
        <f t="shared" si="581"/>
        <v>0</v>
      </c>
      <c r="AI2563" s="88" t="s">
        <v>55</v>
      </c>
      <c r="AJ2563" s="93">
        <f t="shared" si="582"/>
        <v>0</v>
      </c>
      <c r="AK2563" s="93">
        <f t="shared" si="583"/>
        <v>0</v>
      </c>
      <c r="AL2563" s="93">
        <f t="shared" si="584"/>
        <v>0</v>
      </c>
      <c r="AN2563" s="93">
        <v>21</v>
      </c>
      <c r="AO2563" s="93">
        <f t="shared" si="585"/>
        <v>0</v>
      </c>
      <c r="AP2563" s="93">
        <f t="shared" si="586"/>
        <v>0</v>
      </c>
      <c r="AQ2563" s="94" t="s">
        <v>118</v>
      </c>
      <c r="AV2563" s="93">
        <f t="shared" si="587"/>
        <v>0</v>
      </c>
      <c r="AW2563" s="93">
        <f t="shared" si="588"/>
        <v>0</v>
      </c>
      <c r="AX2563" s="93">
        <f t="shared" si="589"/>
        <v>0</v>
      </c>
      <c r="AY2563" s="94" t="s">
        <v>3494</v>
      </c>
      <c r="AZ2563" s="94" t="s">
        <v>3495</v>
      </c>
      <c r="BA2563" s="88" t="s">
        <v>67</v>
      </c>
      <c r="BC2563" s="93">
        <f t="shared" si="590"/>
        <v>0</v>
      </c>
      <c r="BD2563" s="93">
        <f t="shared" si="591"/>
        <v>0</v>
      </c>
      <c r="BE2563" s="93">
        <v>0</v>
      </c>
      <c r="BF2563" s="93">
        <f t="shared" si="592"/>
        <v>0</v>
      </c>
      <c r="BH2563" s="93">
        <f t="shared" si="593"/>
        <v>0</v>
      </c>
      <c r="BI2563" s="93">
        <f t="shared" si="594"/>
        <v>0</v>
      </c>
      <c r="BJ2563" s="93">
        <f t="shared" si="595"/>
        <v>0</v>
      </c>
      <c r="BK2563" s="93"/>
      <c r="BL2563" s="93"/>
      <c r="BW2563" s="93" t="str">
        <f t="shared" si="596"/>
        <v>21</v>
      </c>
      <c r="BX2563" s="2" t="s">
        <v>3567</v>
      </c>
    </row>
    <row r="2564" spans="1:76" s="81" customFormat="1" ht="25.5" x14ac:dyDescent="0.25">
      <c r="A2564" s="66" t="s">
        <v>3584</v>
      </c>
      <c r="B2564" s="72" t="s">
        <v>55</v>
      </c>
      <c r="C2564" s="72" t="s">
        <v>3568</v>
      </c>
      <c r="D2564" s="174" t="s">
        <v>3569</v>
      </c>
      <c r="E2564" s="174"/>
      <c r="F2564" s="72" t="s">
        <v>213</v>
      </c>
      <c r="G2564" s="90">
        <v>5</v>
      </c>
      <c r="H2564" s="91"/>
      <c r="I2564" s="92" t="s">
        <v>63</v>
      </c>
      <c r="J2564" s="90">
        <f t="shared" si="569"/>
        <v>0</v>
      </c>
      <c r="K2564" s="90">
        <f t="shared" si="570"/>
        <v>0</v>
      </c>
      <c r="L2564" s="90">
        <f t="shared" si="571"/>
        <v>0</v>
      </c>
      <c r="M2564" s="90">
        <f t="shared" si="572"/>
        <v>0</v>
      </c>
      <c r="N2564" s="90">
        <v>0</v>
      </c>
      <c r="O2564" s="90">
        <f t="shared" si="573"/>
        <v>0</v>
      </c>
      <c r="P2564" s="92" t="s">
        <v>1647</v>
      </c>
      <c r="Z2564" s="93">
        <f t="shared" si="574"/>
        <v>0</v>
      </c>
      <c r="AB2564" s="93">
        <f t="shared" si="575"/>
        <v>0</v>
      </c>
      <c r="AC2564" s="93">
        <f t="shared" si="576"/>
        <v>0</v>
      </c>
      <c r="AD2564" s="93">
        <f t="shared" si="577"/>
        <v>0</v>
      </c>
      <c r="AE2564" s="93">
        <f t="shared" si="578"/>
        <v>0</v>
      </c>
      <c r="AF2564" s="93">
        <f t="shared" si="579"/>
        <v>0</v>
      </c>
      <c r="AG2564" s="93">
        <f t="shared" si="580"/>
        <v>0</v>
      </c>
      <c r="AH2564" s="93">
        <f t="shared" si="581"/>
        <v>0</v>
      </c>
      <c r="AI2564" s="88" t="s">
        <v>55</v>
      </c>
      <c r="AJ2564" s="93">
        <f t="shared" si="582"/>
        <v>0</v>
      </c>
      <c r="AK2564" s="93">
        <f t="shared" si="583"/>
        <v>0</v>
      </c>
      <c r="AL2564" s="93">
        <f t="shared" si="584"/>
        <v>0</v>
      </c>
      <c r="AN2564" s="93">
        <v>21</v>
      </c>
      <c r="AO2564" s="93">
        <f t="shared" si="585"/>
        <v>0</v>
      </c>
      <c r="AP2564" s="93">
        <f t="shared" si="586"/>
        <v>0</v>
      </c>
      <c r="AQ2564" s="94" t="s">
        <v>118</v>
      </c>
      <c r="AV2564" s="93">
        <f t="shared" si="587"/>
        <v>0</v>
      </c>
      <c r="AW2564" s="93">
        <f t="shared" si="588"/>
        <v>0</v>
      </c>
      <c r="AX2564" s="93">
        <f t="shared" si="589"/>
        <v>0</v>
      </c>
      <c r="AY2564" s="94" t="s">
        <v>3494</v>
      </c>
      <c r="AZ2564" s="94" t="s">
        <v>3495</v>
      </c>
      <c r="BA2564" s="88" t="s">
        <v>67</v>
      </c>
      <c r="BC2564" s="93">
        <f t="shared" si="590"/>
        <v>0</v>
      </c>
      <c r="BD2564" s="93">
        <f t="shared" si="591"/>
        <v>0</v>
      </c>
      <c r="BE2564" s="93">
        <v>0</v>
      </c>
      <c r="BF2564" s="93">
        <f t="shared" si="592"/>
        <v>0</v>
      </c>
      <c r="BH2564" s="93">
        <f t="shared" si="593"/>
        <v>0</v>
      </c>
      <c r="BI2564" s="93">
        <f t="shared" si="594"/>
        <v>0</v>
      </c>
      <c r="BJ2564" s="93">
        <f t="shared" si="595"/>
        <v>0</v>
      </c>
      <c r="BK2564" s="93"/>
      <c r="BL2564" s="93"/>
      <c r="BW2564" s="93" t="str">
        <f t="shared" si="596"/>
        <v>21</v>
      </c>
      <c r="BX2564" s="2" t="s">
        <v>3569</v>
      </c>
    </row>
    <row r="2565" spans="1:76" s="81" customFormat="1" ht="25.5" x14ac:dyDescent="0.25">
      <c r="A2565" s="66" t="s">
        <v>3587</v>
      </c>
      <c r="B2565" s="72" t="s">
        <v>55</v>
      </c>
      <c r="C2565" s="72" t="s">
        <v>3571</v>
      </c>
      <c r="D2565" s="174" t="s">
        <v>3572</v>
      </c>
      <c r="E2565" s="174"/>
      <c r="F2565" s="72" t="s">
        <v>213</v>
      </c>
      <c r="G2565" s="90">
        <v>72</v>
      </c>
      <c r="H2565" s="91"/>
      <c r="I2565" s="92" t="s">
        <v>63</v>
      </c>
      <c r="J2565" s="90">
        <f t="shared" si="569"/>
        <v>0</v>
      </c>
      <c r="K2565" s="90">
        <f t="shared" si="570"/>
        <v>0</v>
      </c>
      <c r="L2565" s="90">
        <f t="shared" si="571"/>
        <v>0</v>
      </c>
      <c r="M2565" s="90">
        <f t="shared" si="572"/>
        <v>0</v>
      </c>
      <c r="N2565" s="90">
        <v>0</v>
      </c>
      <c r="O2565" s="90">
        <f t="shared" si="573"/>
        <v>0</v>
      </c>
      <c r="P2565" s="92" t="s">
        <v>1647</v>
      </c>
      <c r="Z2565" s="93">
        <f t="shared" si="574"/>
        <v>0</v>
      </c>
      <c r="AB2565" s="93">
        <f t="shared" si="575"/>
        <v>0</v>
      </c>
      <c r="AC2565" s="93">
        <f t="shared" si="576"/>
        <v>0</v>
      </c>
      <c r="AD2565" s="93">
        <f t="shared" si="577"/>
        <v>0</v>
      </c>
      <c r="AE2565" s="93">
        <f t="shared" si="578"/>
        <v>0</v>
      </c>
      <c r="AF2565" s="93">
        <f t="shared" si="579"/>
        <v>0</v>
      </c>
      <c r="AG2565" s="93">
        <f t="shared" si="580"/>
        <v>0</v>
      </c>
      <c r="AH2565" s="93">
        <f t="shared" si="581"/>
        <v>0</v>
      </c>
      <c r="AI2565" s="88" t="s">
        <v>55</v>
      </c>
      <c r="AJ2565" s="93">
        <f t="shared" si="582"/>
        <v>0</v>
      </c>
      <c r="AK2565" s="93">
        <f t="shared" si="583"/>
        <v>0</v>
      </c>
      <c r="AL2565" s="93">
        <f t="shared" si="584"/>
        <v>0</v>
      </c>
      <c r="AN2565" s="93">
        <v>21</v>
      </c>
      <c r="AO2565" s="93">
        <f t="shared" si="585"/>
        <v>0</v>
      </c>
      <c r="AP2565" s="93">
        <f t="shared" si="586"/>
        <v>0</v>
      </c>
      <c r="AQ2565" s="94" t="s">
        <v>118</v>
      </c>
      <c r="AV2565" s="93">
        <f t="shared" si="587"/>
        <v>0</v>
      </c>
      <c r="AW2565" s="93">
        <f t="shared" si="588"/>
        <v>0</v>
      </c>
      <c r="AX2565" s="93">
        <f t="shared" si="589"/>
        <v>0</v>
      </c>
      <c r="AY2565" s="94" t="s">
        <v>3494</v>
      </c>
      <c r="AZ2565" s="94" t="s">
        <v>3495</v>
      </c>
      <c r="BA2565" s="88" t="s">
        <v>67</v>
      </c>
      <c r="BC2565" s="93">
        <f t="shared" si="590"/>
        <v>0</v>
      </c>
      <c r="BD2565" s="93">
        <f t="shared" si="591"/>
        <v>0</v>
      </c>
      <c r="BE2565" s="93">
        <v>0</v>
      </c>
      <c r="BF2565" s="93">
        <f t="shared" si="592"/>
        <v>0</v>
      </c>
      <c r="BH2565" s="93">
        <f t="shared" si="593"/>
        <v>0</v>
      </c>
      <c r="BI2565" s="93">
        <f t="shared" si="594"/>
        <v>0</v>
      </c>
      <c r="BJ2565" s="93">
        <f t="shared" si="595"/>
        <v>0</v>
      </c>
      <c r="BK2565" s="93"/>
      <c r="BL2565" s="93"/>
      <c r="BW2565" s="93" t="str">
        <f t="shared" si="596"/>
        <v>21</v>
      </c>
      <c r="BX2565" s="2" t="s">
        <v>3572</v>
      </c>
    </row>
    <row r="2566" spans="1:76" s="81" customFormat="1" ht="25.5" x14ac:dyDescent="0.25">
      <c r="A2566" s="66" t="s">
        <v>3590</v>
      </c>
      <c r="B2566" s="72" t="s">
        <v>55</v>
      </c>
      <c r="C2566" s="72" t="s">
        <v>3574</v>
      </c>
      <c r="D2566" s="174" t="s">
        <v>3575</v>
      </c>
      <c r="E2566" s="174"/>
      <c r="F2566" s="72" t="s">
        <v>213</v>
      </c>
      <c r="G2566" s="90">
        <v>480</v>
      </c>
      <c r="H2566" s="91"/>
      <c r="I2566" s="92" t="s">
        <v>63</v>
      </c>
      <c r="J2566" s="90">
        <f t="shared" si="569"/>
        <v>0</v>
      </c>
      <c r="K2566" s="90">
        <f t="shared" si="570"/>
        <v>0</v>
      </c>
      <c r="L2566" s="90">
        <f t="shared" si="571"/>
        <v>0</v>
      </c>
      <c r="M2566" s="90">
        <f t="shared" si="572"/>
        <v>0</v>
      </c>
      <c r="N2566" s="90">
        <v>0</v>
      </c>
      <c r="O2566" s="90">
        <f t="shared" si="573"/>
        <v>0</v>
      </c>
      <c r="P2566" s="92" t="s">
        <v>1647</v>
      </c>
      <c r="Z2566" s="93">
        <f t="shared" si="574"/>
        <v>0</v>
      </c>
      <c r="AB2566" s="93">
        <f t="shared" si="575"/>
        <v>0</v>
      </c>
      <c r="AC2566" s="93">
        <f t="shared" si="576"/>
        <v>0</v>
      </c>
      <c r="AD2566" s="93">
        <f t="shared" si="577"/>
        <v>0</v>
      </c>
      <c r="AE2566" s="93">
        <f t="shared" si="578"/>
        <v>0</v>
      </c>
      <c r="AF2566" s="93">
        <f t="shared" si="579"/>
        <v>0</v>
      </c>
      <c r="AG2566" s="93">
        <f t="shared" si="580"/>
        <v>0</v>
      </c>
      <c r="AH2566" s="93">
        <f t="shared" si="581"/>
        <v>0</v>
      </c>
      <c r="AI2566" s="88" t="s">
        <v>55</v>
      </c>
      <c r="AJ2566" s="93">
        <f t="shared" si="582"/>
        <v>0</v>
      </c>
      <c r="AK2566" s="93">
        <f t="shared" si="583"/>
        <v>0</v>
      </c>
      <c r="AL2566" s="93">
        <f t="shared" si="584"/>
        <v>0</v>
      </c>
      <c r="AN2566" s="93">
        <v>21</v>
      </c>
      <c r="AO2566" s="93">
        <f t="shared" si="585"/>
        <v>0</v>
      </c>
      <c r="AP2566" s="93">
        <f t="shared" si="586"/>
        <v>0</v>
      </c>
      <c r="AQ2566" s="94" t="s">
        <v>118</v>
      </c>
      <c r="AV2566" s="93">
        <f t="shared" si="587"/>
        <v>0</v>
      </c>
      <c r="AW2566" s="93">
        <f t="shared" si="588"/>
        <v>0</v>
      </c>
      <c r="AX2566" s="93">
        <f t="shared" si="589"/>
        <v>0</v>
      </c>
      <c r="AY2566" s="94" t="s">
        <v>3494</v>
      </c>
      <c r="AZ2566" s="94" t="s">
        <v>3495</v>
      </c>
      <c r="BA2566" s="88" t="s">
        <v>67</v>
      </c>
      <c r="BC2566" s="93">
        <f t="shared" si="590"/>
        <v>0</v>
      </c>
      <c r="BD2566" s="93">
        <f t="shared" si="591"/>
        <v>0</v>
      </c>
      <c r="BE2566" s="93">
        <v>0</v>
      </c>
      <c r="BF2566" s="93">
        <f t="shared" si="592"/>
        <v>0</v>
      </c>
      <c r="BH2566" s="93">
        <f t="shared" si="593"/>
        <v>0</v>
      </c>
      <c r="BI2566" s="93">
        <f t="shared" si="594"/>
        <v>0</v>
      </c>
      <c r="BJ2566" s="93">
        <f t="shared" si="595"/>
        <v>0</v>
      </c>
      <c r="BK2566" s="93"/>
      <c r="BL2566" s="93"/>
      <c r="BW2566" s="93" t="str">
        <f t="shared" si="596"/>
        <v>21</v>
      </c>
      <c r="BX2566" s="2" t="s">
        <v>3575</v>
      </c>
    </row>
    <row r="2567" spans="1:76" s="81" customFormat="1" ht="25.5" x14ac:dyDescent="0.25">
      <c r="A2567" s="66" t="s">
        <v>3593</v>
      </c>
      <c r="B2567" s="72" t="s">
        <v>55</v>
      </c>
      <c r="C2567" s="72" t="s">
        <v>3577</v>
      </c>
      <c r="D2567" s="174" t="s">
        <v>3578</v>
      </c>
      <c r="E2567" s="174"/>
      <c r="F2567" s="72" t="s">
        <v>213</v>
      </c>
      <c r="G2567" s="90">
        <v>215</v>
      </c>
      <c r="H2567" s="91"/>
      <c r="I2567" s="92" t="s">
        <v>63</v>
      </c>
      <c r="J2567" s="90">
        <f t="shared" si="569"/>
        <v>0</v>
      </c>
      <c r="K2567" s="90">
        <f t="shared" si="570"/>
        <v>0</v>
      </c>
      <c r="L2567" s="90">
        <f t="shared" si="571"/>
        <v>0</v>
      </c>
      <c r="M2567" s="90">
        <f t="shared" si="572"/>
        <v>0</v>
      </c>
      <c r="N2567" s="90">
        <v>0</v>
      </c>
      <c r="O2567" s="90">
        <f t="shared" si="573"/>
        <v>0</v>
      </c>
      <c r="P2567" s="92" t="s">
        <v>1647</v>
      </c>
      <c r="Z2567" s="93">
        <f t="shared" si="574"/>
        <v>0</v>
      </c>
      <c r="AB2567" s="93">
        <f t="shared" si="575"/>
        <v>0</v>
      </c>
      <c r="AC2567" s="93">
        <f t="shared" si="576"/>
        <v>0</v>
      </c>
      <c r="AD2567" s="93">
        <f t="shared" si="577"/>
        <v>0</v>
      </c>
      <c r="AE2567" s="93">
        <f t="shared" si="578"/>
        <v>0</v>
      </c>
      <c r="AF2567" s="93">
        <f t="shared" si="579"/>
        <v>0</v>
      </c>
      <c r="AG2567" s="93">
        <f t="shared" si="580"/>
        <v>0</v>
      </c>
      <c r="AH2567" s="93">
        <f t="shared" si="581"/>
        <v>0</v>
      </c>
      <c r="AI2567" s="88" t="s">
        <v>55</v>
      </c>
      <c r="AJ2567" s="93">
        <f t="shared" si="582"/>
        <v>0</v>
      </c>
      <c r="AK2567" s="93">
        <f t="shared" si="583"/>
        <v>0</v>
      </c>
      <c r="AL2567" s="93">
        <f t="shared" si="584"/>
        <v>0</v>
      </c>
      <c r="AN2567" s="93">
        <v>21</v>
      </c>
      <c r="AO2567" s="93">
        <f t="shared" si="585"/>
        <v>0</v>
      </c>
      <c r="AP2567" s="93">
        <f t="shared" si="586"/>
        <v>0</v>
      </c>
      <c r="AQ2567" s="94" t="s">
        <v>118</v>
      </c>
      <c r="AV2567" s="93">
        <f t="shared" si="587"/>
        <v>0</v>
      </c>
      <c r="AW2567" s="93">
        <f t="shared" si="588"/>
        <v>0</v>
      </c>
      <c r="AX2567" s="93">
        <f t="shared" si="589"/>
        <v>0</v>
      </c>
      <c r="AY2567" s="94" t="s">
        <v>3494</v>
      </c>
      <c r="AZ2567" s="94" t="s">
        <v>3495</v>
      </c>
      <c r="BA2567" s="88" t="s">
        <v>67</v>
      </c>
      <c r="BC2567" s="93">
        <f t="shared" si="590"/>
        <v>0</v>
      </c>
      <c r="BD2567" s="93">
        <f t="shared" si="591"/>
        <v>0</v>
      </c>
      <c r="BE2567" s="93">
        <v>0</v>
      </c>
      <c r="BF2567" s="93">
        <f t="shared" si="592"/>
        <v>0</v>
      </c>
      <c r="BH2567" s="93">
        <f t="shared" si="593"/>
        <v>0</v>
      </c>
      <c r="BI2567" s="93">
        <f t="shared" si="594"/>
        <v>0</v>
      </c>
      <c r="BJ2567" s="93">
        <f t="shared" si="595"/>
        <v>0</v>
      </c>
      <c r="BK2567" s="93"/>
      <c r="BL2567" s="93"/>
      <c r="BW2567" s="93" t="str">
        <f t="shared" si="596"/>
        <v>21</v>
      </c>
      <c r="BX2567" s="2" t="s">
        <v>3578</v>
      </c>
    </row>
    <row r="2568" spans="1:76" s="81" customFormat="1" ht="25.5" x14ac:dyDescent="0.25">
      <c r="A2568" s="66" t="s">
        <v>2802</v>
      </c>
      <c r="B2568" s="72" t="s">
        <v>55</v>
      </c>
      <c r="C2568" s="72" t="s">
        <v>3580</v>
      </c>
      <c r="D2568" s="174" t="s">
        <v>3581</v>
      </c>
      <c r="E2568" s="174"/>
      <c r="F2568" s="72" t="s">
        <v>213</v>
      </c>
      <c r="G2568" s="90">
        <v>81</v>
      </c>
      <c r="H2568" s="91"/>
      <c r="I2568" s="92" t="s">
        <v>63</v>
      </c>
      <c r="J2568" s="90">
        <f t="shared" si="569"/>
        <v>0</v>
      </c>
      <c r="K2568" s="90">
        <f t="shared" si="570"/>
        <v>0</v>
      </c>
      <c r="L2568" s="90">
        <f t="shared" si="571"/>
        <v>0</v>
      </c>
      <c r="M2568" s="90">
        <f t="shared" si="572"/>
        <v>0</v>
      </c>
      <c r="N2568" s="90">
        <v>0</v>
      </c>
      <c r="O2568" s="90">
        <f t="shared" si="573"/>
        <v>0</v>
      </c>
      <c r="P2568" s="92" t="s">
        <v>1647</v>
      </c>
      <c r="Z2568" s="93">
        <f t="shared" si="574"/>
        <v>0</v>
      </c>
      <c r="AB2568" s="93">
        <f t="shared" si="575"/>
        <v>0</v>
      </c>
      <c r="AC2568" s="93">
        <f t="shared" si="576"/>
        <v>0</v>
      </c>
      <c r="AD2568" s="93">
        <f t="shared" si="577"/>
        <v>0</v>
      </c>
      <c r="AE2568" s="93">
        <f t="shared" si="578"/>
        <v>0</v>
      </c>
      <c r="AF2568" s="93">
        <f t="shared" si="579"/>
        <v>0</v>
      </c>
      <c r="AG2568" s="93">
        <f t="shared" si="580"/>
        <v>0</v>
      </c>
      <c r="AH2568" s="93">
        <f t="shared" si="581"/>
        <v>0</v>
      </c>
      <c r="AI2568" s="88" t="s">
        <v>55</v>
      </c>
      <c r="AJ2568" s="93">
        <f t="shared" si="582"/>
        <v>0</v>
      </c>
      <c r="AK2568" s="93">
        <f t="shared" si="583"/>
        <v>0</v>
      </c>
      <c r="AL2568" s="93">
        <f t="shared" si="584"/>
        <v>0</v>
      </c>
      <c r="AN2568" s="93">
        <v>21</v>
      </c>
      <c r="AO2568" s="93">
        <f t="shared" si="585"/>
        <v>0</v>
      </c>
      <c r="AP2568" s="93">
        <f t="shared" si="586"/>
        <v>0</v>
      </c>
      <c r="AQ2568" s="94" t="s">
        <v>118</v>
      </c>
      <c r="AV2568" s="93">
        <f t="shared" si="587"/>
        <v>0</v>
      </c>
      <c r="AW2568" s="93">
        <f t="shared" si="588"/>
        <v>0</v>
      </c>
      <c r="AX2568" s="93">
        <f t="shared" si="589"/>
        <v>0</v>
      </c>
      <c r="AY2568" s="94" t="s">
        <v>3494</v>
      </c>
      <c r="AZ2568" s="94" t="s">
        <v>3495</v>
      </c>
      <c r="BA2568" s="88" t="s">
        <v>67</v>
      </c>
      <c r="BC2568" s="93">
        <f t="shared" si="590"/>
        <v>0</v>
      </c>
      <c r="BD2568" s="93">
        <f t="shared" si="591"/>
        <v>0</v>
      </c>
      <c r="BE2568" s="93">
        <v>0</v>
      </c>
      <c r="BF2568" s="93">
        <f t="shared" si="592"/>
        <v>0</v>
      </c>
      <c r="BH2568" s="93">
        <f t="shared" si="593"/>
        <v>0</v>
      </c>
      <c r="BI2568" s="93">
        <f t="shared" si="594"/>
        <v>0</v>
      </c>
      <c r="BJ2568" s="93">
        <f t="shared" si="595"/>
        <v>0</v>
      </c>
      <c r="BK2568" s="93"/>
      <c r="BL2568" s="93"/>
      <c r="BW2568" s="93" t="str">
        <f t="shared" si="596"/>
        <v>21</v>
      </c>
      <c r="BX2568" s="2" t="s">
        <v>3581</v>
      </c>
    </row>
    <row r="2569" spans="1:76" s="81" customFormat="1" ht="25.5" x14ac:dyDescent="0.25">
      <c r="A2569" s="66" t="s">
        <v>3599</v>
      </c>
      <c r="B2569" s="72" t="s">
        <v>55</v>
      </c>
      <c r="C2569" s="72" t="s">
        <v>3582</v>
      </c>
      <c r="D2569" s="174" t="s">
        <v>3583</v>
      </c>
      <c r="E2569" s="174"/>
      <c r="F2569" s="72" t="s">
        <v>213</v>
      </c>
      <c r="G2569" s="90">
        <v>425</v>
      </c>
      <c r="H2569" s="91"/>
      <c r="I2569" s="92" t="s">
        <v>63</v>
      </c>
      <c r="J2569" s="90">
        <f t="shared" si="569"/>
        <v>0</v>
      </c>
      <c r="K2569" s="90">
        <f t="shared" si="570"/>
        <v>0</v>
      </c>
      <c r="L2569" s="90">
        <f t="shared" si="571"/>
        <v>0</v>
      </c>
      <c r="M2569" s="90">
        <f t="shared" si="572"/>
        <v>0</v>
      </c>
      <c r="N2569" s="90">
        <v>0</v>
      </c>
      <c r="O2569" s="90">
        <f t="shared" si="573"/>
        <v>0</v>
      </c>
      <c r="P2569" s="92" t="s">
        <v>1647</v>
      </c>
      <c r="Z2569" s="93">
        <f t="shared" si="574"/>
        <v>0</v>
      </c>
      <c r="AB2569" s="93">
        <f t="shared" si="575"/>
        <v>0</v>
      </c>
      <c r="AC2569" s="93">
        <f t="shared" si="576"/>
        <v>0</v>
      </c>
      <c r="AD2569" s="93">
        <f t="shared" si="577"/>
        <v>0</v>
      </c>
      <c r="AE2569" s="93">
        <f t="shared" si="578"/>
        <v>0</v>
      </c>
      <c r="AF2569" s="93">
        <f t="shared" si="579"/>
        <v>0</v>
      </c>
      <c r="AG2569" s="93">
        <f t="shared" si="580"/>
        <v>0</v>
      </c>
      <c r="AH2569" s="93">
        <f t="shared" si="581"/>
        <v>0</v>
      </c>
      <c r="AI2569" s="88" t="s">
        <v>55</v>
      </c>
      <c r="AJ2569" s="93">
        <f t="shared" si="582"/>
        <v>0</v>
      </c>
      <c r="AK2569" s="93">
        <f t="shared" si="583"/>
        <v>0</v>
      </c>
      <c r="AL2569" s="93">
        <f t="shared" si="584"/>
        <v>0</v>
      </c>
      <c r="AN2569" s="93">
        <v>21</v>
      </c>
      <c r="AO2569" s="93">
        <f t="shared" si="585"/>
        <v>0</v>
      </c>
      <c r="AP2569" s="93">
        <f t="shared" si="586"/>
        <v>0</v>
      </c>
      <c r="AQ2569" s="94" t="s">
        <v>118</v>
      </c>
      <c r="AV2569" s="93">
        <f t="shared" si="587"/>
        <v>0</v>
      </c>
      <c r="AW2569" s="93">
        <f t="shared" si="588"/>
        <v>0</v>
      </c>
      <c r="AX2569" s="93">
        <f t="shared" si="589"/>
        <v>0</v>
      </c>
      <c r="AY2569" s="94" t="s">
        <v>3494</v>
      </c>
      <c r="AZ2569" s="94" t="s">
        <v>3495</v>
      </c>
      <c r="BA2569" s="88" t="s">
        <v>67</v>
      </c>
      <c r="BC2569" s="93">
        <f t="shared" si="590"/>
        <v>0</v>
      </c>
      <c r="BD2569" s="93">
        <f t="shared" si="591"/>
        <v>0</v>
      </c>
      <c r="BE2569" s="93">
        <v>0</v>
      </c>
      <c r="BF2569" s="93">
        <f t="shared" si="592"/>
        <v>0</v>
      </c>
      <c r="BH2569" s="93">
        <f t="shared" si="593"/>
        <v>0</v>
      </c>
      <c r="BI2569" s="93">
        <f t="shared" si="594"/>
        <v>0</v>
      </c>
      <c r="BJ2569" s="93">
        <f t="shared" si="595"/>
        <v>0</v>
      </c>
      <c r="BK2569" s="93"/>
      <c r="BL2569" s="93"/>
      <c r="BW2569" s="93" t="str">
        <f t="shared" si="596"/>
        <v>21</v>
      </c>
      <c r="BX2569" s="2" t="s">
        <v>3583</v>
      </c>
    </row>
    <row r="2570" spans="1:76" s="81" customFormat="1" ht="25.5" x14ac:dyDescent="0.25">
      <c r="A2570" s="66" t="s">
        <v>3602</v>
      </c>
      <c r="B2570" s="72" t="s">
        <v>55</v>
      </c>
      <c r="C2570" s="72" t="s">
        <v>3585</v>
      </c>
      <c r="D2570" s="174" t="s">
        <v>3586</v>
      </c>
      <c r="E2570" s="174"/>
      <c r="F2570" s="72" t="s">
        <v>213</v>
      </c>
      <c r="G2570" s="90">
        <v>3450</v>
      </c>
      <c r="H2570" s="91"/>
      <c r="I2570" s="92" t="s">
        <v>63</v>
      </c>
      <c r="J2570" s="90">
        <f t="shared" ref="J2570:J2601" si="597">G2570*AO2570</f>
        <v>0</v>
      </c>
      <c r="K2570" s="90">
        <f t="shared" ref="K2570:K2601" si="598">G2570*AP2570</f>
        <v>0</v>
      </c>
      <c r="L2570" s="90">
        <f t="shared" ref="L2570:L2601" si="599">G2570*H2570</f>
        <v>0</v>
      </c>
      <c r="M2570" s="90">
        <f t="shared" ref="M2570:M2601" si="600">L2570*(1+BW2570/100)</f>
        <v>0</v>
      </c>
      <c r="N2570" s="90">
        <v>0</v>
      </c>
      <c r="O2570" s="90">
        <f t="shared" ref="O2570:O2601" si="601">G2570*N2570</f>
        <v>0</v>
      </c>
      <c r="P2570" s="92" t="s">
        <v>1647</v>
      </c>
      <c r="Z2570" s="93">
        <f t="shared" ref="Z2570:Z2601" si="602">IF(AQ2570="5",BJ2570,0)</f>
        <v>0</v>
      </c>
      <c r="AB2570" s="93">
        <f t="shared" ref="AB2570:AB2601" si="603">IF(AQ2570="1",BH2570,0)</f>
        <v>0</v>
      </c>
      <c r="AC2570" s="93">
        <f t="shared" ref="AC2570:AC2601" si="604">IF(AQ2570="1",BI2570,0)</f>
        <v>0</v>
      </c>
      <c r="AD2570" s="93">
        <f t="shared" ref="AD2570:AD2601" si="605">IF(AQ2570="7",BH2570,0)</f>
        <v>0</v>
      </c>
      <c r="AE2570" s="93">
        <f t="shared" ref="AE2570:AE2601" si="606">IF(AQ2570="7",BI2570,0)</f>
        <v>0</v>
      </c>
      <c r="AF2570" s="93">
        <f t="shared" ref="AF2570:AF2601" si="607">IF(AQ2570="2",BH2570,0)</f>
        <v>0</v>
      </c>
      <c r="AG2570" s="93">
        <f t="shared" ref="AG2570:AG2601" si="608">IF(AQ2570="2",BI2570,0)</f>
        <v>0</v>
      </c>
      <c r="AH2570" s="93">
        <f t="shared" ref="AH2570:AH2601" si="609">IF(AQ2570="0",BJ2570,0)</f>
        <v>0</v>
      </c>
      <c r="AI2570" s="88" t="s">
        <v>55</v>
      </c>
      <c r="AJ2570" s="93">
        <f t="shared" ref="AJ2570:AJ2601" si="610">IF(AN2570=0,L2570,0)</f>
        <v>0</v>
      </c>
      <c r="AK2570" s="93">
        <f t="shared" ref="AK2570:AK2601" si="611">IF(AN2570=12,L2570,0)</f>
        <v>0</v>
      </c>
      <c r="AL2570" s="93">
        <f t="shared" ref="AL2570:AL2601" si="612">IF(AN2570=21,L2570,0)</f>
        <v>0</v>
      </c>
      <c r="AN2570" s="93">
        <v>21</v>
      </c>
      <c r="AO2570" s="93">
        <f t="shared" ref="AO2570:AO2601" si="613">H2570*0</f>
        <v>0</v>
      </c>
      <c r="AP2570" s="93">
        <f t="shared" ref="AP2570:AP2601" si="614">H2570*(1-0)</f>
        <v>0</v>
      </c>
      <c r="AQ2570" s="94" t="s">
        <v>118</v>
      </c>
      <c r="AV2570" s="93">
        <f t="shared" ref="AV2570:AV2601" si="615">AW2570+AX2570</f>
        <v>0</v>
      </c>
      <c r="AW2570" s="93">
        <f t="shared" ref="AW2570:AW2601" si="616">G2570*AO2570</f>
        <v>0</v>
      </c>
      <c r="AX2570" s="93">
        <f t="shared" ref="AX2570:AX2601" si="617">G2570*AP2570</f>
        <v>0</v>
      </c>
      <c r="AY2570" s="94" t="s">
        <v>3494</v>
      </c>
      <c r="AZ2570" s="94" t="s">
        <v>3495</v>
      </c>
      <c r="BA2570" s="88" t="s">
        <v>67</v>
      </c>
      <c r="BC2570" s="93">
        <f t="shared" ref="BC2570:BC2601" si="618">AW2570+AX2570</f>
        <v>0</v>
      </c>
      <c r="BD2570" s="93">
        <f t="shared" ref="BD2570:BD2601" si="619">H2570/(100-BE2570)*100</f>
        <v>0</v>
      </c>
      <c r="BE2570" s="93">
        <v>0</v>
      </c>
      <c r="BF2570" s="93">
        <f t="shared" ref="BF2570:BF2601" si="620">O2570</f>
        <v>0</v>
      </c>
      <c r="BH2570" s="93">
        <f t="shared" ref="BH2570:BH2601" si="621">G2570*AO2570</f>
        <v>0</v>
      </c>
      <c r="BI2570" s="93">
        <f t="shared" ref="BI2570:BI2601" si="622">G2570*AP2570</f>
        <v>0</v>
      </c>
      <c r="BJ2570" s="93">
        <f t="shared" ref="BJ2570:BJ2601" si="623">G2570*H2570</f>
        <v>0</v>
      </c>
      <c r="BK2570" s="93"/>
      <c r="BL2570" s="93"/>
      <c r="BW2570" s="93" t="str">
        <f t="shared" ref="BW2570:BW2601" si="624">I2570</f>
        <v>21</v>
      </c>
      <c r="BX2570" s="2" t="s">
        <v>3586</v>
      </c>
    </row>
    <row r="2571" spans="1:76" s="81" customFormat="1" ht="25.5" x14ac:dyDescent="0.25">
      <c r="A2571" s="66" t="s">
        <v>2850</v>
      </c>
      <c r="B2571" s="72" t="s">
        <v>55</v>
      </c>
      <c r="C2571" s="72" t="s">
        <v>3588</v>
      </c>
      <c r="D2571" s="174" t="s">
        <v>3589</v>
      </c>
      <c r="E2571" s="174"/>
      <c r="F2571" s="72" t="s">
        <v>213</v>
      </c>
      <c r="G2571" s="90">
        <v>88</v>
      </c>
      <c r="H2571" s="91"/>
      <c r="I2571" s="92" t="s">
        <v>63</v>
      </c>
      <c r="J2571" s="90">
        <f t="shared" si="597"/>
        <v>0</v>
      </c>
      <c r="K2571" s="90">
        <f t="shared" si="598"/>
        <v>0</v>
      </c>
      <c r="L2571" s="90">
        <f t="shared" si="599"/>
        <v>0</v>
      </c>
      <c r="M2571" s="90">
        <f t="shared" si="600"/>
        <v>0</v>
      </c>
      <c r="N2571" s="90">
        <v>0</v>
      </c>
      <c r="O2571" s="90">
        <f t="shared" si="601"/>
        <v>0</v>
      </c>
      <c r="P2571" s="92" t="s">
        <v>1647</v>
      </c>
      <c r="Z2571" s="93">
        <f t="shared" si="602"/>
        <v>0</v>
      </c>
      <c r="AB2571" s="93">
        <f t="shared" si="603"/>
        <v>0</v>
      </c>
      <c r="AC2571" s="93">
        <f t="shared" si="604"/>
        <v>0</v>
      </c>
      <c r="AD2571" s="93">
        <f t="shared" si="605"/>
        <v>0</v>
      </c>
      <c r="AE2571" s="93">
        <f t="shared" si="606"/>
        <v>0</v>
      </c>
      <c r="AF2571" s="93">
        <f t="shared" si="607"/>
        <v>0</v>
      </c>
      <c r="AG2571" s="93">
        <f t="shared" si="608"/>
        <v>0</v>
      </c>
      <c r="AH2571" s="93">
        <f t="shared" si="609"/>
        <v>0</v>
      </c>
      <c r="AI2571" s="88" t="s">
        <v>55</v>
      </c>
      <c r="AJ2571" s="93">
        <f t="shared" si="610"/>
        <v>0</v>
      </c>
      <c r="AK2571" s="93">
        <f t="shared" si="611"/>
        <v>0</v>
      </c>
      <c r="AL2571" s="93">
        <f t="shared" si="612"/>
        <v>0</v>
      </c>
      <c r="AN2571" s="93">
        <v>21</v>
      </c>
      <c r="AO2571" s="93">
        <f t="shared" si="613"/>
        <v>0</v>
      </c>
      <c r="AP2571" s="93">
        <f t="shared" si="614"/>
        <v>0</v>
      </c>
      <c r="AQ2571" s="94" t="s">
        <v>118</v>
      </c>
      <c r="AV2571" s="93">
        <f t="shared" si="615"/>
        <v>0</v>
      </c>
      <c r="AW2571" s="93">
        <f t="shared" si="616"/>
        <v>0</v>
      </c>
      <c r="AX2571" s="93">
        <f t="shared" si="617"/>
        <v>0</v>
      </c>
      <c r="AY2571" s="94" t="s">
        <v>3494</v>
      </c>
      <c r="AZ2571" s="94" t="s">
        <v>3495</v>
      </c>
      <c r="BA2571" s="88" t="s">
        <v>67</v>
      </c>
      <c r="BC2571" s="93">
        <f t="shared" si="618"/>
        <v>0</v>
      </c>
      <c r="BD2571" s="93">
        <f t="shared" si="619"/>
        <v>0</v>
      </c>
      <c r="BE2571" s="93">
        <v>0</v>
      </c>
      <c r="BF2571" s="93">
        <f t="shared" si="620"/>
        <v>0</v>
      </c>
      <c r="BH2571" s="93">
        <f t="shared" si="621"/>
        <v>0</v>
      </c>
      <c r="BI2571" s="93">
        <f t="shared" si="622"/>
        <v>0</v>
      </c>
      <c r="BJ2571" s="93">
        <f t="shared" si="623"/>
        <v>0</v>
      </c>
      <c r="BK2571" s="93"/>
      <c r="BL2571" s="93"/>
      <c r="BW2571" s="93" t="str">
        <f t="shared" si="624"/>
        <v>21</v>
      </c>
      <c r="BX2571" s="2" t="s">
        <v>3589</v>
      </c>
    </row>
    <row r="2572" spans="1:76" s="81" customFormat="1" ht="25.5" x14ac:dyDescent="0.25">
      <c r="A2572" s="66" t="s">
        <v>3607</v>
      </c>
      <c r="B2572" s="72" t="s">
        <v>55</v>
      </c>
      <c r="C2572" s="72" t="s">
        <v>3591</v>
      </c>
      <c r="D2572" s="174" t="s">
        <v>3592</v>
      </c>
      <c r="E2572" s="174"/>
      <c r="F2572" s="72" t="s">
        <v>213</v>
      </c>
      <c r="G2572" s="90">
        <v>72</v>
      </c>
      <c r="H2572" s="91"/>
      <c r="I2572" s="92" t="s">
        <v>63</v>
      </c>
      <c r="J2572" s="90">
        <f t="shared" si="597"/>
        <v>0</v>
      </c>
      <c r="K2572" s="90">
        <f t="shared" si="598"/>
        <v>0</v>
      </c>
      <c r="L2572" s="90">
        <f t="shared" si="599"/>
        <v>0</v>
      </c>
      <c r="M2572" s="90">
        <f t="shared" si="600"/>
        <v>0</v>
      </c>
      <c r="N2572" s="90">
        <v>0</v>
      </c>
      <c r="O2572" s="90">
        <f t="shared" si="601"/>
        <v>0</v>
      </c>
      <c r="P2572" s="92" t="s">
        <v>1647</v>
      </c>
      <c r="Z2572" s="93">
        <f t="shared" si="602"/>
        <v>0</v>
      </c>
      <c r="AB2572" s="93">
        <f t="shared" si="603"/>
        <v>0</v>
      </c>
      <c r="AC2572" s="93">
        <f t="shared" si="604"/>
        <v>0</v>
      </c>
      <c r="AD2572" s="93">
        <f t="shared" si="605"/>
        <v>0</v>
      </c>
      <c r="AE2572" s="93">
        <f t="shared" si="606"/>
        <v>0</v>
      </c>
      <c r="AF2572" s="93">
        <f t="shared" si="607"/>
        <v>0</v>
      </c>
      <c r="AG2572" s="93">
        <f t="shared" si="608"/>
        <v>0</v>
      </c>
      <c r="AH2572" s="93">
        <f t="shared" si="609"/>
        <v>0</v>
      </c>
      <c r="AI2572" s="88" t="s">
        <v>55</v>
      </c>
      <c r="AJ2572" s="93">
        <f t="shared" si="610"/>
        <v>0</v>
      </c>
      <c r="AK2572" s="93">
        <f t="shared" si="611"/>
        <v>0</v>
      </c>
      <c r="AL2572" s="93">
        <f t="shared" si="612"/>
        <v>0</v>
      </c>
      <c r="AN2572" s="93">
        <v>21</v>
      </c>
      <c r="AO2572" s="93">
        <f t="shared" si="613"/>
        <v>0</v>
      </c>
      <c r="AP2572" s="93">
        <f t="shared" si="614"/>
        <v>0</v>
      </c>
      <c r="AQ2572" s="94" t="s">
        <v>118</v>
      </c>
      <c r="AV2572" s="93">
        <f t="shared" si="615"/>
        <v>0</v>
      </c>
      <c r="AW2572" s="93">
        <f t="shared" si="616"/>
        <v>0</v>
      </c>
      <c r="AX2572" s="93">
        <f t="shared" si="617"/>
        <v>0</v>
      </c>
      <c r="AY2572" s="94" t="s">
        <v>3494</v>
      </c>
      <c r="AZ2572" s="94" t="s">
        <v>3495</v>
      </c>
      <c r="BA2572" s="88" t="s">
        <v>67</v>
      </c>
      <c r="BC2572" s="93">
        <f t="shared" si="618"/>
        <v>0</v>
      </c>
      <c r="BD2572" s="93">
        <f t="shared" si="619"/>
        <v>0</v>
      </c>
      <c r="BE2572" s="93">
        <v>0</v>
      </c>
      <c r="BF2572" s="93">
        <f t="shared" si="620"/>
        <v>0</v>
      </c>
      <c r="BH2572" s="93">
        <f t="shared" si="621"/>
        <v>0</v>
      </c>
      <c r="BI2572" s="93">
        <f t="shared" si="622"/>
        <v>0</v>
      </c>
      <c r="BJ2572" s="93">
        <f t="shared" si="623"/>
        <v>0</v>
      </c>
      <c r="BK2572" s="93"/>
      <c r="BL2572" s="93"/>
      <c r="BW2572" s="93" t="str">
        <f t="shared" si="624"/>
        <v>21</v>
      </c>
      <c r="BX2572" s="2" t="s">
        <v>3592</v>
      </c>
    </row>
    <row r="2573" spans="1:76" s="81" customFormat="1" ht="25.5" x14ac:dyDescent="0.25">
      <c r="A2573" s="66" t="s">
        <v>2884</v>
      </c>
      <c r="B2573" s="72" t="s">
        <v>55</v>
      </c>
      <c r="C2573" s="72" t="s">
        <v>3594</v>
      </c>
      <c r="D2573" s="174" t="s">
        <v>3595</v>
      </c>
      <c r="E2573" s="174"/>
      <c r="F2573" s="72" t="s">
        <v>3596</v>
      </c>
      <c r="G2573" s="90">
        <v>24</v>
      </c>
      <c r="H2573" s="91"/>
      <c r="I2573" s="92" t="s">
        <v>63</v>
      </c>
      <c r="J2573" s="90">
        <f t="shared" si="597"/>
        <v>0</v>
      </c>
      <c r="K2573" s="90">
        <f t="shared" si="598"/>
        <v>0</v>
      </c>
      <c r="L2573" s="90">
        <f t="shared" si="599"/>
        <v>0</v>
      </c>
      <c r="M2573" s="90">
        <f t="shared" si="600"/>
        <v>0</v>
      </c>
      <c r="N2573" s="90">
        <v>0</v>
      </c>
      <c r="O2573" s="90">
        <f t="shared" si="601"/>
        <v>0</v>
      </c>
      <c r="P2573" s="92" t="s">
        <v>1647</v>
      </c>
      <c r="Z2573" s="93">
        <f t="shared" si="602"/>
        <v>0</v>
      </c>
      <c r="AB2573" s="93">
        <f t="shared" si="603"/>
        <v>0</v>
      </c>
      <c r="AC2573" s="93">
        <f t="shared" si="604"/>
        <v>0</v>
      </c>
      <c r="AD2573" s="93">
        <f t="shared" si="605"/>
        <v>0</v>
      </c>
      <c r="AE2573" s="93">
        <f t="shared" si="606"/>
        <v>0</v>
      </c>
      <c r="AF2573" s="93">
        <f t="shared" si="607"/>
        <v>0</v>
      </c>
      <c r="AG2573" s="93">
        <f t="shared" si="608"/>
        <v>0</v>
      </c>
      <c r="AH2573" s="93">
        <f t="shared" si="609"/>
        <v>0</v>
      </c>
      <c r="AI2573" s="88" t="s">
        <v>55</v>
      </c>
      <c r="AJ2573" s="93">
        <f t="shared" si="610"/>
        <v>0</v>
      </c>
      <c r="AK2573" s="93">
        <f t="shared" si="611"/>
        <v>0</v>
      </c>
      <c r="AL2573" s="93">
        <f t="shared" si="612"/>
        <v>0</v>
      </c>
      <c r="AN2573" s="93">
        <v>21</v>
      </c>
      <c r="AO2573" s="93">
        <f t="shared" si="613"/>
        <v>0</v>
      </c>
      <c r="AP2573" s="93">
        <f t="shared" si="614"/>
        <v>0</v>
      </c>
      <c r="AQ2573" s="94" t="s">
        <v>118</v>
      </c>
      <c r="AV2573" s="93">
        <f t="shared" si="615"/>
        <v>0</v>
      </c>
      <c r="AW2573" s="93">
        <f t="shared" si="616"/>
        <v>0</v>
      </c>
      <c r="AX2573" s="93">
        <f t="shared" si="617"/>
        <v>0</v>
      </c>
      <c r="AY2573" s="94" t="s">
        <v>3494</v>
      </c>
      <c r="AZ2573" s="94" t="s">
        <v>3495</v>
      </c>
      <c r="BA2573" s="88" t="s">
        <v>67</v>
      </c>
      <c r="BC2573" s="93">
        <f t="shared" si="618"/>
        <v>0</v>
      </c>
      <c r="BD2573" s="93">
        <f t="shared" si="619"/>
        <v>0</v>
      </c>
      <c r="BE2573" s="93">
        <v>0</v>
      </c>
      <c r="BF2573" s="93">
        <f t="shared" si="620"/>
        <v>0</v>
      </c>
      <c r="BH2573" s="93">
        <f t="shared" si="621"/>
        <v>0</v>
      </c>
      <c r="BI2573" s="93">
        <f t="shared" si="622"/>
        <v>0</v>
      </c>
      <c r="BJ2573" s="93">
        <f t="shared" si="623"/>
        <v>0</v>
      </c>
      <c r="BK2573" s="93"/>
      <c r="BL2573" s="93"/>
      <c r="BW2573" s="93" t="str">
        <f t="shared" si="624"/>
        <v>21</v>
      </c>
      <c r="BX2573" s="2" t="s">
        <v>3595</v>
      </c>
    </row>
    <row r="2574" spans="1:76" s="81" customFormat="1" ht="25.5" x14ac:dyDescent="0.25">
      <c r="A2574" s="66" t="s">
        <v>2896</v>
      </c>
      <c r="B2574" s="72" t="s">
        <v>55</v>
      </c>
      <c r="C2574" s="72" t="s">
        <v>3597</v>
      </c>
      <c r="D2574" s="174" t="s">
        <v>3598</v>
      </c>
      <c r="E2574" s="174"/>
      <c r="F2574" s="72" t="s">
        <v>3514</v>
      </c>
      <c r="G2574" s="90">
        <v>31</v>
      </c>
      <c r="H2574" s="91"/>
      <c r="I2574" s="92" t="s">
        <v>63</v>
      </c>
      <c r="J2574" s="90">
        <f t="shared" si="597"/>
        <v>0</v>
      </c>
      <c r="K2574" s="90">
        <f t="shared" si="598"/>
        <v>0</v>
      </c>
      <c r="L2574" s="90">
        <f t="shared" si="599"/>
        <v>0</v>
      </c>
      <c r="M2574" s="90">
        <f t="shared" si="600"/>
        <v>0</v>
      </c>
      <c r="N2574" s="90">
        <v>0</v>
      </c>
      <c r="O2574" s="90">
        <f t="shared" si="601"/>
        <v>0</v>
      </c>
      <c r="P2574" s="92" t="s">
        <v>1647</v>
      </c>
      <c r="Z2574" s="93">
        <f t="shared" si="602"/>
        <v>0</v>
      </c>
      <c r="AB2574" s="93">
        <f t="shared" si="603"/>
        <v>0</v>
      </c>
      <c r="AC2574" s="93">
        <f t="shared" si="604"/>
        <v>0</v>
      </c>
      <c r="AD2574" s="93">
        <f t="shared" si="605"/>
        <v>0</v>
      </c>
      <c r="AE2574" s="93">
        <f t="shared" si="606"/>
        <v>0</v>
      </c>
      <c r="AF2574" s="93">
        <f t="shared" si="607"/>
        <v>0</v>
      </c>
      <c r="AG2574" s="93">
        <f t="shared" si="608"/>
        <v>0</v>
      </c>
      <c r="AH2574" s="93">
        <f t="shared" si="609"/>
        <v>0</v>
      </c>
      <c r="AI2574" s="88" t="s">
        <v>55</v>
      </c>
      <c r="AJ2574" s="93">
        <f t="shared" si="610"/>
        <v>0</v>
      </c>
      <c r="AK2574" s="93">
        <f t="shared" si="611"/>
        <v>0</v>
      </c>
      <c r="AL2574" s="93">
        <f t="shared" si="612"/>
        <v>0</v>
      </c>
      <c r="AN2574" s="93">
        <v>21</v>
      </c>
      <c r="AO2574" s="93">
        <f t="shared" si="613"/>
        <v>0</v>
      </c>
      <c r="AP2574" s="93">
        <f t="shared" si="614"/>
        <v>0</v>
      </c>
      <c r="AQ2574" s="94" t="s">
        <v>118</v>
      </c>
      <c r="AV2574" s="93">
        <f t="shared" si="615"/>
        <v>0</v>
      </c>
      <c r="AW2574" s="93">
        <f t="shared" si="616"/>
        <v>0</v>
      </c>
      <c r="AX2574" s="93">
        <f t="shared" si="617"/>
        <v>0</v>
      </c>
      <c r="AY2574" s="94" t="s">
        <v>3494</v>
      </c>
      <c r="AZ2574" s="94" t="s">
        <v>3495</v>
      </c>
      <c r="BA2574" s="88" t="s">
        <v>67</v>
      </c>
      <c r="BC2574" s="93">
        <f t="shared" si="618"/>
        <v>0</v>
      </c>
      <c r="BD2574" s="93">
        <f t="shared" si="619"/>
        <v>0</v>
      </c>
      <c r="BE2574" s="93">
        <v>0</v>
      </c>
      <c r="BF2574" s="93">
        <f t="shared" si="620"/>
        <v>0</v>
      </c>
      <c r="BH2574" s="93">
        <f t="shared" si="621"/>
        <v>0</v>
      </c>
      <c r="BI2574" s="93">
        <f t="shared" si="622"/>
        <v>0</v>
      </c>
      <c r="BJ2574" s="93">
        <f t="shared" si="623"/>
        <v>0</v>
      </c>
      <c r="BK2574" s="93"/>
      <c r="BL2574" s="93"/>
      <c r="BW2574" s="93" t="str">
        <f t="shared" si="624"/>
        <v>21</v>
      </c>
      <c r="BX2574" s="2" t="s">
        <v>3598</v>
      </c>
    </row>
    <row r="2575" spans="1:76" s="81" customFormat="1" ht="25.5" x14ac:dyDescent="0.25">
      <c r="A2575" s="66" t="s">
        <v>3614</v>
      </c>
      <c r="B2575" s="72" t="s">
        <v>55</v>
      </c>
      <c r="C2575" s="72" t="s">
        <v>3600</v>
      </c>
      <c r="D2575" s="174" t="s">
        <v>3601</v>
      </c>
      <c r="E2575" s="174"/>
      <c r="F2575" s="72" t="s">
        <v>3514</v>
      </c>
      <c r="G2575" s="90">
        <v>17</v>
      </c>
      <c r="H2575" s="91"/>
      <c r="I2575" s="92" t="s">
        <v>63</v>
      </c>
      <c r="J2575" s="90">
        <f t="shared" si="597"/>
        <v>0</v>
      </c>
      <c r="K2575" s="90">
        <f t="shared" si="598"/>
        <v>0</v>
      </c>
      <c r="L2575" s="90">
        <f t="shared" si="599"/>
        <v>0</v>
      </c>
      <c r="M2575" s="90">
        <f t="shared" si="600"/>
        <v>0</v>
      </c>
      <c r="N2575" s="90">
        <v>0</v>
      </c>
      <c r="O2575" s="90">
        <f t="shared" si="601"/>
        <v>0</v>
      </c>
      <c r="P2575" s="92" t="s">
        <v>1647</v>
      </c>
      <c r="Z2575" s="93">
        <f t="shared" si="602"/>
        <v>0</v>
      </c>
      <c r="AB2575" s="93">
        <f t="shared" si="603"/>
        <v>0</v>
      </c>
      <c r="AC2575" s="93">
        <f t="shared" si="604"/>
        <v>0</v>
      </c>
      <c r="AD2575" s="93">
        <f t="shared" si="605"/>
        <v>0</v>
      </c>
      <c r="AE2575" s="93">
        <f t="shared" si="606"/>
        <v>0</v>
      </c>
      <c r="AF2575" s="93">
        <f t="shared" si="607"/>
        <v>0</v>
      </c>
      <c r="AG2575" s="93">
        <f t="shared" si="608"/>
        <v>0</v>
      </c>
      <c r="AH2575" s="93">
        <f t="shared" si="609"/>
        <v>0</v>
      </c>
      <c r="AI2575" s="88" t="s">
        <v>55</v>
      </c>
      <c r="AJ2575" s="93">
        <f t="shared" si="610"/>
        <v>0</v>
      </c>
      <c r="AK2575" s="93">
        <f t="shared" si="611"/>
        <v>0</v>
      </c>
      <c r="AL2575" s="93">
        <f t="shared" si="612"/>
        <v>0</v>
      </c>
      <c r="AN2575" s="93">
        <v>21</v>
      </c>
      <c r="AO2575" s="93">
        <f t="shared" si="613"/>
        <v>0</v>
      </c>
      <c r="AP2575" s="93">
        <f t="shared" si="614"/>
        <v>0</v>
      </c>
      <c r="AQ2575" s="94" t="s">
        <v>118</v>
      </c>
      <c r="AV2575" s="93">
        <f t="shared" si="615"/>
        <v>0</v>
      </c>
      <c r="AW2575" s="93">
        <f t="shared" si="616"/>
        <v>0</v>
      </c>
      <c r="AX2575" s="93">
        <f t="shared" si="617"/>
        <v>0</v>
      </c>
      <c r="AY2575" s="94" t="s">
        <v>3494</v>
      </c>
      <c r="AZ2575" s="94" t="s">
        <v>3495</v>
      </c>
      <c r="BA2575" s="88" t="s">
        <v>67</v>
      </c>
      <c r="BC2575" s="93">
        <f t="shared" si="618"/>
        <v>0</v>
      </c>
      <c r="BD2575" s="93">
        <f t="shared" si="619"/>
        <v>0</v>
      </c>
      <c r="BE2575" s="93">
        <v>0</v>
      </c>
      <c r="BF2575" s="93">
        <f t="shared" si="620"/>
        <v>0</v>
      </c>
      <c r="BH2575" s="93">
        <f t="shared" si="621"/>
        <v>0</v>
      </c>
      <c r="BI2575" s="93">
        <f t="shared" si="622"/>
        <v>0</v>
      </c>
      <c r="BJ2575" s="93">
        <f t="shared" si="623"/>
        <v>0</v>
      </c>
      <c r="BK2575" s="93"/>
      <c r="BL2575" s="93"/>
      <c r="BW2575" s="93" t="str">
        <f t="shared" si="624"/>
        <v>21</v>
      </c>
      <c r="BX2575" s="2" t="s">
        <v>3601</v>
      </c>
    </row>
    <row r="2576" spans="1:76" s="81" customFormat="1" ht="25.5" x14ac:dyDescent="0.25">
      <c r="A2576" s="66" t="s">
        <v>3617</v>
      </c>
      <c r="B2576" s="72" t="s">
        <v>55</v>
      </c>
      <c r="C2576" s="72" t="s">
        <v>3603</v>
      </c>
      <c r="D2576" s="174" t="s">
        <v>3604</v>
      </c>
      <c r="E2576" s="174"/>
      <c r="F2576" s="72" t="s">
        <v>3514</v>
      </c>
      <c r="G2576" s="90">
        <v>6</v>
      </c>
      <c r="H2576" s="91"/>
      <c r="I2576" s="92" t="s">
        <v>63</v>
      </c>
      <c r="J2576" s="90">
        <f t="shared" si="597"/>
        <v>0</v>
      </c>
      <c r="K2576" s="90">
        <f t="shared" si="598"/>
        <v>0</v>
      </c>
      <c r="L2576" s="90">
        <f t="shared" si="599"/>
        <v>0</v>
      </c>
      <c r="M2576" s="90">
        <f t="shared" si="600"/>
        <v>0</v>
      </c>
      <c r="N2576" s="90">
        <v>0</v>
      </c>
      <c r="O2576" s="90">
        <f t="shared" si="601"/>
        <v>0</v>
      </c>
      <c r="P2576" s="92" t="s">
        <v>1647</v>
      </c>
      <c r="Z2576" s="93">
        <f t="shared" si="602"/>
        <v>0</v>
      </c>
      <c r="AB2576" s="93">
        <f t="shared" si="603"/>
        <v>0</v>
      </c>
      <c r="AC2576" s="93">
        <f t="shared" si="604"/>
        <v>0</v>
      </c>
      <c r="AD2576" s="93">
        <f t="shared" si="605"/>
        <v>0</v>
      </c>
      <c r="AE2576" s="93">
        <f t="shared" si="606"/>
        <v>0</v>
      </c>
      <c r="AF2576" s="93">
        <f t="shared" si="607"/>
        <v>0</v>
      </c>
      <c r="AG2576" s="93">
        <f t="shared" si="608"/>
        <v>0</v>
      </c>
      <c r="AH2576" s="93">
        <f t="shared" si="609"/>
        <v>0</v>
      </c>
      <c r="AI2576" s="88" t="s">
        <v>55</v>
      </c>
      <c r="AJ2576" s="93">
        <f t="shared" si="610"/>
        <v>0</v>
      </c>
      <c r="AK2576" s="93">
        <f t="shared" si="611"/>
        <v>0</v>
      </c>
      <c r="AL2576" s="93">
        <f t="shared" si="612"/>
        <v>0</v>
      </c>
      <c r="AN2576" s="93">
        <v>21</v>
      </c>
      <c r="AO2576" s="93">
        <f t="shared" si="613"/>
        <v>0</v>
      </c>
      <c r="AP2576" s="93">
        <f t="shared" si="614"/>
        <v>0</v>
      </c>
      <c r="AQ2576" s="94" t="s">
        <v>118</v>
      </c>
      <c r="AV2576" s="93">
        <f t="shared" si="615"/>
        <v>0</v>
      </c>
      <c r="AW2576" s="93">
        <f t="shared" si="616"/>
        <v>0</v>
      </c>
      <c r="AX2576" s="93">
        <f t="shared" si="617"/>
        <v>0</v>
      </c>
      <c r="AY2576" s="94" t="s">
        <v>3494</v>
      </c>
      <c r="AZ2576" s="94" t="s">
        <v>3495</v>
      </c>
      <c r="BA2576" s="88" t="s">
        <v>67</v>
      </c>
      <c r="BC2576" s="93">
        <f t="shared" si="618"/>
        <v>0</v>
      </c>
      <c r="BD2576" s="93">
        <f t="shared" si="619"/>
        <v>0</v>
      </c>
      <c r="BE2576" s="93">
        <v>0</v>
      </c>
      <c r="BF2576" s="93">
        <f t="shared" si="620"/>
        <v>0</v>
      </c>
      <c r="BH2576" s="93">
        <f t="shared" si="621"/>
        <v>0</v>
      </c>
      <c r="BI2576" s="93">
        <f t="shared" si="622"/>
        <v>0</v>
      </c>
      <c r="BJ2576" s="93">
        <f t="shared" si="623"/>
        <v>0</v>
      </c>
      <c r="BK2576" s="93"/>
      <c r="BL2576" s="93"/>
      <c r="BW2576" s="93" t="str">
        <f t="shared" si="624"/>
        <v>21</v>
      </c>
      <c r="BX2576" s="2" t="s">
        <v>3604</v>
      </c>
    </row>
    <row r="2577" spans="1:76" s="81" customFormat="1" ht="25.5" x14ac:dyDescent="0.25">
      <c r="A2577" s="66" t="s">
        <v>3620</v>
      </c>
      <c r="B2577" s="72" t="s">
        <v>55</v>
      </c>
      <c r="C2577" s="72" t="s">
        <v>3605</v>
      </c>
      <c r="D2577" s="174" t="s">
        <v>3606</v>
      </c>
      <c r="E2577" s="174"/>
      <c r="F2577" s="72" t="s">
        <v>3514</v>
      </c>
      <c r="G2577" s="90">
        <v>18</v>
      </c>
      <c r="H2577" s="91"/>
      <c r="I2577" s="92" t="s">
        <v>63</v>
      </c>
      <c r="J2577" s="90">
        <f t="shared" si="597"/>
        <v>0</v>
      </c>
      <c r="K2577" s="90">
        <f t="shared" si="598"/>
        <v>0</v>
      </c>
      <c r="L2577" s="90">
        <f t="shared" si="599"/>
        <v>0</v>
      </c>
      <c r="M2577" s="90">
        <f t="shared" si="600"/>
        <v>0</v>
      </c>
      <c r="N2577" s="90">
        <v>0</v>
      </c>
      <c r="O2577" s="90">
        <f t="shared" si="601"/>
        <v>0</v>
      </c>
      <c r="P2577" s="92" t="s">
        <v>1647</v>
      </c>
      <c r="Z2577" s="93">
        <f t="shared" si="602"/>
        <v>0</v>
      </c>
      <c r="AB2577" s="93">
        <f t="shared" si="603"/>
        <v>0</v>
      </c>
      <c r="AC2577" s="93">
        <f t="shared" si="604"/>
        <v>0</v>
      </c>
      <c r="AD2577" s="93">
        <f t="shared" si="605"/>
        <v>0</v>
      </c>
      <c r="AE2577" s="93">
        <f t="shared" si="606"/>
        <v>0</v>
      </c>
      <c r="AF2577" s="93">
        <f t="shared" si="607"/>
        <v>0</v>
      </c>
      <c r="AG2577" s="93">
        <f t="shared" si="608"/>
        <v>0</v>
      </c>
      <c r="AH2577" s="93">
        <f t="shared" si="609"/>
        <v>0</v>
      </c>
      <c r="AI2577" s="88" t="s">
        <v>55</v>
      </c>
      <c r="AJ2577" s="93">
        <f t="shared" si="610"/>
        <v>0</v>
      </c>
      <c r="AK2577" s="93">
        <f t="shared" si="611"/>
        <v>0</v>
      </c>
      <c r="AL2577" s="93">
        <f t="shared" si="612"/>
        <v>0</v>
      </c>
      <c r="AN2577" s="93">
        <v>21</v>
      </c>
      <c r="AO2577" s="93">
        <f t="shared" si="613"/>
        <v>0</v>
      </c>
      <c r="AP2577" s="93">
        <f t="shared" si="614"/>
        <v>0</v>
      </c>
      <c r="AQ2577" s="94" t="s">
        <v>118</v>
      </c>
      <c r="AV2577" s="93">
        <f t="shared" si="615"/>
        <v>0</v>
      </c>
      <c r="AW2577" s="93">
        <f t="shared" si="616"/>
        <v>0</v>
      </c>
      <c r="AX2577" s="93">
        <f t="shared" si="617"/>
        <v>0</v>
      </c>
      <c r="AY2577" s="94" t="s">
        <v>3494</v>
      </c>
      <c r="AZ2577" s="94" t="s">
        <v>3495</v>
      </c>
      <c r="BA2577" s="88" t="s">
        <v>67</v>
      </c>
      <c r="BC2577" s="93">
        <f t="shared" si="618"/>
        <v>0</v>
      </c>
      <c r="BD2577" s="93">
        <f t="shared" si="619"/>
        <v>0</v>
      </c>
      <c r="BE2577" s="93">
        <v>0</v>
      </c>
      <c r="BF2577" s="93">
        <f t="shared" si="620"/>
        <v>0</v>
      </c>
      <c r="BH2577" s="93">
        <f t="shared" si="621"/>
        <v>0</v>
      </c>
      <c r="BI2577" s="93">
        <f t="shared" si="622"/>
        <v>0</v>
      </c>
      <c r="BJ2577" s="93">
        <f t="shared" si="623"/>
        <v>0</v>
      </c>
      <c r="BK2577" s="93"/>
      <c r="BL2577" s="93"/>
      <c r="BW2577" s="93" t="str">
        <f t="shared" si="624"/>
        <v>21</v>
      </c>
      <c r="BX2577" s="2" t="s">
        <v>3606</v>
      </c>
    </row>
    <row r="2578" spans="1:76" s="81" customFormat="1" ht="25.5" x14ac:dyDescent="0.25">
      <c r="A2578" s="66" t="s">
        <v>3623</v>
      </c>
      <c r="B2578" s="72" t="s">
        <v>55</v>
      </c>
      <c r="C2578" s="72" t="s">
        <v>3608</v>
      </c>
      <c r="D2578" s="174" t="s">
        <v>3609</v>
      </c>
      <c r="E2578" s="174"/>
      <c r="F2578" s="72" t="s">
        <v>3514</v>
      </c>
      <c r="G2578" s="90">
        <v>12</v>
      </c>
      <c r="H2578" s="91"/>
      <c r="I2578" s="92" t="s">
        <v>63</v>
      </c>
      <c r="J2578" s="90">
        <f t="shared" si="597"/>
        <v>0</v>
      </c>
      <c r="K2578" s="90">
        <f t="shared" si="598"/>
        <v>0</v>
      </c>
      <c r="L2578" s="90">
        <f t="shared" si="599"/>
        <v>0</v>
      </c>
      <c r="M2578" s="90">
        <f t="shared" si="600"/>
        <v>0</v>
      </c>
      <c r="N2578" s="90">
        <v>0</v>
      </c>
      <c r="O2578" s="90">
        <f t="shared" si="601"/>
        <v>0</v>
      </c>
      <c r="P2578" s="92" t="s">
        <v>1647</v>
      </c>
      <c r="Z2578" s="93">
        <f t="shared" si="602"/>
        <v>0</v>
      </c>
      <c r="AB2578" s="93">
        <f t="shared" si="603"/>
        <v>0</v>
      </c>
      <c r="AC2578" s="93">
        <f t="shared" si="604"/>
        <v>0</v>
      </c>
      <c r="AD2578" s="93">
        <f t="shared" si="605"/>
        <v>0</v>
      </c>
      <c r="AE2578" s="93">
        <f t="shared" si="606"/>
        <v>0</v>
      </c>
      <c r="AF2578" s="93">
        <f t="shared" si="607"/>
        <v>0</v>
      </c>
      <c r="AG2578" s="93">
        <f t="shared" si="608"/>
        <v>0</v>
      </c>
      <c r="AH2578" s="93">
        <f t="shared" si="609"/>
        <v>0</v>
      </c>
      <c r="AI2578" s="88" t="s">
        <v>55</v>
      </c>
      <c r="AJ2578" s="93">
        <f t="shared" si="610"/>
        <v>0</v>
      </c>
      <c r="AK2578" s="93">
        <f t="shared" si="611"/>
        <v>0</v>
      </c>
      <c r="AL2578" s="93">
        <f t="shared" si="612"/>
        <v>0</v>
      </c>
      <c r="AN2578" s="93">
        <v>21</v>
      </c>
      <c r="AO2578" s="93">
        <f t="shared" si="613"/>
        <v>0</v>
      </c>
      <c r="AP2578" s="93">
        <f t="shared" si="614"/>
        <v>0</v>
      </c>
      <c r="AQ2578" s="94" t="s">
        <v>118</v>
      </c>
      <c r="AV2578" s="93">
        <f t="shared" si="615"/>
        <v>0</v>
      </c>
      <c r="AW2578" s="93">
        <f t="shared" si="616"/>
        <v>0</v>
      </c>
      <c r="AX2578" s="93">
        <f t="shared" si="617"/>
        <v>0</v>
      </c>
      <c r="AY2578" s="94" t="s">
        <v>3494</v>
      </c>
      <c r="AZ2578" s="94" t="s">
        <v>3495</v>
      </c>
      <c r="BA2578" s="88" t="s">
        <v>67</v>
      </c>
      <c r="BC2578" s="93">
        <f t="shared" si="618"/>
        <v>0</v>
      </c>
      <c r="BD2578" s="93">
        <f t="shared" si="619"/>
        <v>0</v>
      </c>
      <c r="BE2578" s="93">
        <v>0</v>
      </c>
      <c r="BF2578" s="93">
        <f t="shared" si="620"/>
        <v>0</v>
      </c>
      <c r="BH2578" s="93">
        <f t="shared" si="621"/>
        <v>0</v>
      </c>
      <c r="BI2578" s="93">
        <f t="shared" si="622"/>
        <v>0</v>
      </c>
      <c r="BJ2578" s="93">
        <f t="shared" si="623"/>
        <v>0</v>
      </c>
      <c r="BK2578" s="93"/>
      <c r="BL2578" s="93"/>
      <c r="BW2578" s="93" t="str">
        <f t="shared" si="624"/>
        <v>21</v>
      </c>
      <c r="BX2578" s="2" t="s">
        <v>3609</v>
      </c>
    </row>
    <row r="2579" spans="1:76" s="81" customFormat="1" ht="25.5" x14ac:dyDescent="0.25">
      <c r="A2579" s="66" t="s">
        <v>3626</v>
      </c>
      <c r="B2579" s="72" t="s">
        <v>55</v>
      </c>
      <c r="C2579" s="72" t="s">
        <v>3610</v>
      </c>
      <c r="D2579" s="174" t="s">
        <v>3611</v>
      </c>
      <c r="E2579" s="174"/>
      <c r="F2579" s="72" t="s">
        <v>3514</v>
      </c>
      <c r="G2579" s="90">
        <v>23</v>
      </c>
      <c r="H2579" s="91"/>
      <c r="I2579" s="92" t="s">
        <v>63</v>
      </c>
      <c r="J2579" s="90">
        <f t="shared" si="597"/>
        <v>0</v>
      </c>
      <c r="K2579" s="90">
        <f t="shared" si="598"/>
        <v>0</v>
      </c>
      <c r="L2579" s="90">
        <f t="shared" si="599"/>
        <v>0</v>
      </c>
      <c r="M2579" s="90">
        <f t="shared" si="600"/>
        <v>0</v>
      </c>
      <c r="N2579" s="90">
        <v>0</v>
      </c>
      <c r="O2579" s="90">
        <f t="shared" si="601"/>
        <v>0</v>
      </c>
      <c r="P2579" s="92" t="s">
        <v>1647</v>
      </c>
      <c r="Z2579" s="93">
        <f t="shared" si="602"/>
        <v>0</v>
      </c>
      <c r="AB2579" s="93">
        <f t="shared" si="603"/>
        <v>0</v>
      </c>
      <c r="AC2579" s="93">
        <f t="shared" si="604"/>
        <v>0</v>
      </c>
      <c r="AD2579" s="93">
        <f t="shared" si="605"/>
        <v>0</v>
      </c>
      <c r="AE2579" s="93">
        <f t="shared" si="606"/>
        <v>0</v>
      </c>
      <c r="AF2579" s="93">
        <f t="shared" si="607"/>
        <v>0</v>
      </c>
      <c r="AG2579" s="93">
        <f t="shared" si="608"/>
        <v>0</v>
      </c>
      <c r="AH2579" s="93">
        <f t="shared" si="609"/>
        <v>0</v>
      </c>
      <c r="AI2579" s="88" t="s">
        <v>55</v>
      </c>
      <c r="AJ2579" s="93">
        <f t="shared" si="610"/>
        <v>0</v>
      </c>
      <c r="AK2579" s="93">
        <f t="shared" si="611"/>
        <v>0</v>
      </c>
      <c r="AL2579" s="93">
        <f t="shared" si="612"/>
        <v>0</v>
      </c>
      <c r="AN2579" s="93">
        <v>21</v>
      </c>
      <c r="AO2579" s="93">
        <f t="shared" si="613"/>
        <v>0</v>
      </c>
      <c r="AP2579" s="93">
        <f t="shared" si="614"/>
        <v>0</v>
      </c>
      <c r="AQ2579" s="94" t="s">
        <v>118</v>
      </c>
      <c r="AV2579" s="93">
        <f t="shared" si="615"/>
        <v>0</v>
      </c>
      <c r="AW2579" s="93">
        <f t="shared" si="616"/>
        <v>0</v>
      </c>
      <c r="AX2579" s="93">
        <f t="shared" si="617"/>
        <v>0</v>
      </c>
      <c r="AY2579" s="94" t="s">
        <v>3494</v>
      </c>
      <c r="AZ2579" s="94" t="s">
        <v>3495</v>
      </c>
      <c r="BA2579" s="88" t="s">
        <v>67</v>
      </c>
      <c r="BC2579" s="93">
        <f t="shared" si="618"/>
        <v>0</v>
      </c>
      <c r="BD2579" s="93">
        <f t="shared" si="619"/>
        <v>0</v>
      </c>
      <c r="BE2579" s="93">
        <v>0</v>
      </c>
      <c r="BF2579" s="93">
        <f t="shared" si="620"/>
        <v>0</v>
      </c>
      <c r="BH2579" s="93">
        <f t="shared" si="621"/>
        <v>0</v>
      </c>
      <c r="BI2579" s="93">
        <f t="shared" si="622"/>
        <v>0</v>
      </c>
      <c r="BJ2579" s="93">
        <f t="shared" si="623"/>
        <v>0</v>
      </c>
      <c r="BK2579" s="93"/>
      <c r="BL2579" s="93"/>
      <c r="BW2579" s="93" t="str">
        <f t="shared" si="624"/>
        <v>21</v>
      </c>
      <c r="BX2579" s="2" t="s">
        <v>3611</v>
      </c>
    </row>
    <row r="2580" spans="1:76" s="81" customFormat="1" ht="25.5" x14ac:dyDescent="0.25">
      <c r="A2580" s="66" t="s">
        <v>3629</v>
      </c>
      <c r="B2580" s="72" t="s">
        <v>55</v>
      </c>
      <c r="C2580" s="72" t="s">
        <v>3612</v>
      </c>
      <c r="D2580" s="174" t="s">
        <v>3613</v>
      </c>
      <c r="E2580" s="174"/>
      <c r="F2580" s="72" t="s">
        <v>3514</v>
      </c>
      <c r="G2580" s="90">
        <v>6</v>
      </c>
      <c r="H2580" s="91"/>
      <c r="I2580" s="92" t="s">
        <v>63</v>
      </c>
      <c r="J2580" s="90">
        <f t="shared" si="597"/>
        <v>0</v>
      </c>
      <c r="K2580" s="90">
        <f t="shared" si="598"/>
        <v>0</v>
      </c>
      <c r="L2580" s="90">
        <f t="shared" si="599"/>
        <v>0</v>
      </c>
      <c r="M2580" s="90">
        <f t="shared" si="600"/>
        <v>0</v>
      </c>
      <c r="N2580" s="90">
        <v>0</v>
      </c>
      <c r="O2580" s="90">
        <f t="shared" si="601"/>
        <v>0</v>
      </c>
      <c r="P2580" s="92" t="s">
        <v>1647</v>
      </c>
      <c r="Z2580" s="93">
        <f t="shared" si="602"/>
        <v>0</v>
      </c>
      <c r="AB2580" s="93">
        <f t="shared" si="603"/>
        <v>0</v>
      </c>
      <c r="AC2580" s="93">
        <f t="shared" si="604"/>
        <v>0</v>
      </c>
      <c r="AD2580" s="93">
        <f t="shared" si="605"/>
        <v>0</v>
      </c>
      <c r="AE2580" s="93">
        <f t="shared" si="606"/>
        <v>0</v>
      </c>
      <c r="AF2580" s="93">
        <f t="shared" si="607"/>
        <v>0</v>
      </c>
      <c r="AG2580" s="93">
        <f t="shared" si="608"/>
        <v>0</v>
      </c>
      <c r="AH2580" s="93">
        <f t="shared" si="609"/>
        <v>0</v>
      </c>
      <c r="AI2580" s="88" t="s">
        <v>55</v>
      </c>
      <c r="AJ2580" s="93">
        <f t="shared" si="610"/>
        <v>0</v>
      </c>
      <c r="AK2580" s="93">
        <f t="shared" si="611"/>
        <v>0</v>
      </c>
      <c r="AL2580" s="93">
        <f t="shared" si="612"/>
        <v>0</v>
      </c>
      <c r="AN2580" s="93">
        <v>21</v>
      </c>
      <c r="AO2580" s="93">
        <f t="shared" si="613"/>
        <v>0</v>
      </c>
      <c r="AP2580" s="93">
        <f t="shared" si="614"/>
        <v>0</v>
      </c>
      <c r="AQ2580" s="94" t="s">
        <v>118</v>
      </c>
      <c r="AV2580" s="93">
        <f t="shared" si="615"/>
        <v>0</v>
      </c>
      <c r="AW2580" s="93">
        <f t="shared" si="616"/>
        <v>0</v>
      </c>
      <c r="AX2580" s="93">
        <f t="shared" si="617"/>
        <v>0</v>
      </c>
      <c r="AY2580" s="94" t="s">
        <v>3494</v>
      </c>
      <c r="AZ2580" s="94" t="s">
        <v>3495</v>
      </c>
      <c r="BA2580" s="88" t="s">
        <v>67</v>
      </c>
      <c r="BC2580" s="93">
        <f t="shared" si="618"/>
        <v>0</v>
      </c>
      <c r="BD2580" s="93">
        <f t="shared" si="619"/>
        <v>0</v>
      </c>
      <c r="BE2580" s="93">
        <v>0</v>
      </c>
      <c r="BF2580" s="93">
        <f t="shared" si="620"/>
        <v>0</v>
      </c>
      <c r="BH2580" s="93">
        <f t="shared" si="621"/>
        <v>0</v>
      </c>
      <c r="BI2580" s="93">
        <f t="shared" si="622"/>
        <v>0</v>
      </c>
      <c r="BJ2580" s="93">
        <f t="shared" si="623"/>
        <v>0</v>
      </c>
      <c r="BK2580" s="93"/>
      <c r="BL2580" s="93"/>
      <c r="BW2580" s="93" t="str">
        <f t="shared" si="624"/>
        <v>21</v>
      </c>
      <c r="BX2580" s="2" t="s">
        <v>3613</v>
      </c>
    </row>
    <row r="2581" spans="1:76" s="81" customFormat="1" ht="25.5" x14ac:dyDescent="0.25">
      <c r="A2581" s="66" t="s">
        <v>3632</v>
      </c>
      <c r="B2581" s="72" t="s">
        <v>55</v>
      </c>
      <c r="C2581" s="72" t="s">
        <v>3615</v>
      </c>
      <c r="D2581" s="174" t="s">
        <v>3616</v>
      </c>
      <c r="E2581" s="174"/>
      <c r="F2581" s="72" t="s">
        <v>3514</v>
      </c>
      <c r="G2581" s="90">
        <v>26</v>
      </c>
      <c r="H2581" s="91"/>
      <c r="I2581" s="92" t="s">
        <v>63</v>
      </c>
      <c r="J2581" s="90">
        <f t="shared" si="597"/>
        <v>0</v>
      </c>
      <c r="K2581" s="90">
        <f t="shared" si="598"/>
        <v>0</v>
      </c>
      <c r="L2581" s="90">
        <f t="shared" si="599"/>
        <v>0</v>
      </c>
      <c r="M2581" s="90">
        <f t="shared" si="600"/>
        <v>0</v>
      </c>
      <c r="N2581" s="90">
        <v>0</v>
      </c>
      <c r="O2581" s="90">
        <f t="shared" si="601"/>
        <v>0</v>
      </c>
      <c r="P2581" s="92" t="s">
        <v>1647</v>
      </c>
      <c r="Z2581" s="93">
        <f t="shared" si="602"/>
        <v>0</v>
      </c>
      <c r="AB2581" s="93">
        <f t="shared" si="603"/>
        <v>0</v>
      </c>
      <c r="AC2581" s="93">
        <f t="shared" si="604"/>
        <v>0</v>
      </c>
      <c r="AD2581" s="93">
        <f t="shared" si="605"/>
        <v>0</v>
      </c>
      <c r="AE2581" s="93">
        <f t="shared" si="606"/>
        <v>0</v>
      </c>
      <c r="AF2581" s="93">
        <f t="shared" si="607"/>
        <v>0</v>
      </c>
      <c r="AG2581" s="93">
        <f t="shared" si="608"/>
        <v>0</v>
      </c>
      <c r="AH2581" s="93">
        <f t="shared" si="609"/>
        <v>0</v>
      </c>
      <c r="AI2581" s="88" t="s">
        <v>55</v>
      </c>
      <c r="AJ2581" s="93">
        <f t="shared" si="610"/>
        <v>0</v>
      </c>
      <c r="AK2581" s="93">
        <f t="shared" si="611"/>
        <v>0</v>
      </c>
      <c r="AL2581" s="93">
        <f t="shared" si="612"/>
        <v>0</v>
      </c>
      <c r="AN2581" s="93">
        <v>21</v>
      </c>
      <c r="AO2581" s="93">
        <f t="shared" si="613"/>
        <v>0</v>
      </c>
      <c r="AP2581" s="93">
        <f t="shared" si="614"/>
        <v>0</v>
      </c>
      <c r="AQ2581" s="94" t="s">
        <v>118</v>
      </c>
      <c r="AV2581" s="93">
        <f t="shared" si="615"/>
        <v>0</v>
      </c>
      <c r="AW2581" s="93">
        <f t="shared" si="616"/>
        <v>0</v>
      </c>
      <c r="AX2581" s="93">
        <f t="shared" si="617"/>
        <v>0</v>
      </c>
      <c r="AY2581" s="94" t="s">
        <v>3494</v>
      </c>
      <c r="AZ2581" s="94" t="s">
        <v>3495</v>
      </c>
      <c r="BA2581" s="88" t="s">
        <v>67</v>
      </c>
      <c r="BC2581" s="93">
        <f t="shared" si="618"/>
        <v>0</v>
      </c>
      <c r="BD2581" s="93">
        <f t="shared" si="619"/>
        <v>0</v>
      </c>
      <c r="BE2581" s="93">
        <v>0</v>
      </c>
      <c r="BF2581" s="93">
        <f t="shared" si="620"/>
        <v>0</v>
      </c>
      <c r="BH2581" s="93">
        <f t="shared" si="621"/>
        <v>0</v>
      </c>
      <c r="BI2581" s="93">
        <f t="shared" si="622"/>
        <v>0</v>
      </c>
      <c r="BJ2581" s="93">
        <f t="shared" si="623"/>
        <v>0</v>
      </c>
      <c r="BK2581" s="93"/>
      <c r="BL2581" s="93"/>
      <c r="BW2581" s="93" t="str">
        <f t="shared" si="624"/>
        <v>21</v>
      </c>
      <c r="BX2581" s="2" t="s">
        <v>3616</v>
      </c>
    </row>
    <row r="2582" spans="1:76" s="81" customFormat="1" ht="25.5" x14ac:dyDescent="0.25">
      <c r="A2582" s="66" t="s">
        <v>2908</v>
      </c>
      <c r="B2582" s="72" t="s">
        <v>55</v>
      </c>
      <c r="C2582" s="72" t="s">
        <v>3618</v>
      </c>
      <c r="D2582" s="174" t="s">
        <v>3619</v>
      </c>
      <c r="E2582" s="174"/>
      <c r="F2582" s="72" t="s">
        <v>3514</v>
      </c>
      <c r="G2582" s="90">
        <v>4</v>
      </c>
      <c r="H2582" s="91"/>
      <c r="I2582" s="92" t="s">
        <v>63</v>
      </c>
      <c r="J2582" s="90">
        <f t="shared" si="597"/>
        <v>0</v>
      </c>
      <c r="K2582" s="90">
        <f t="shared" si="598"/>
        <v>0</v>
      </c>
      <c r="L2582" s="90">
        <f t="shared" si="599"/>
        <v>0</v>
      </c>
      <c r="M2582" s="90">
        <f t="shared" si="600"/>
        <v>0</v>
      </c>
      <c r="N2582" s="90">
        <v>0</v>
      </c>
      <c r="O2582" s="90">
        <f t="shared" si="601"/>
        <v>0</v>
      </c>
      <c r="P2582" s="92" t="s">
        <v>1647</v>
      </c>
      <c r="Z2582" s="93">
        <f t="shared" si="602"/>
        <v>0</v>
      </c>
      <c r="AB2582" s="93">
        <f t="shared" si="603"/>
        <v>0</v>
      </c>
      <c r="AC2582" s="93">
        <f t="shared" si="604"/>
        <v>0</v>
      </c>
      <c r="AD2582" s="93">
        <f t="shared" si="605"/>
        <v>0</v>
      </c>
      <c r="AE2582" s="93">
        <f t="shared" si="606"/>
        <v>0</v>
      </c>
      <c r="AF2582" s="93">
        <f t="shared" si="607"/>
        <v>0</v>
      </c>
      <c r="AG2582" s="93">
        <f t="shared" si="608"/>
        <v>0</v>
      </c>
      <c r="AH2582" s="93">
        <f t="shared" si="609"/>
        <v>0</v>
      </c>
      <c r="AI2582" s="88" t="s">
        <v>55</v>
      </c>
      <c r="AJ2582" s="93">
        <f t="shared" si="610"/>
        <v>0</v>
      </c>
      <c r="AK2582" s="93">
        <f t="shared" si="611"/>
        <v>0</v>
      </c>
      <c r="AL2582" s="93">
        <f t="shared" si="612"/>
        <v>0</v>
      </c>
      <c r="AN2582" s="93">
        <v>21</v>
      </c>
      <c r="AO2582" s="93">
        <f t="shared" si="613"/>
        <v>0</v>
      </c>
      <c r="AP2582" s="93">
        <f t="shared" si="614"/>
        <v>0</v>
      </c>
      <c r="AQ2582" s="94" t="s">
        <v>118</v>
      </c>
      <c r="AV2582" s="93">
        <f t="shared" si="615"/>
        <v>0</v>
      </c>
      <c r="AW2582" s="93">
        <f t="shared" si="616"/>
        <v>0</v>
      </c>
      <c r="AX2582" s="93">
        <f t="shared" si="617"/>
        <v>0</v>
      </c>
      <c r="AY2582" s="94" t="s">
        <v>3494</v>
      </c>
      <c r="AZ2582" s="94" t="s">
        <v>3495</v>
      </c>
      <c r="BA2582" s="88" t="s">
        <v>67</v>
      </c>
      <c r="BC2582" s="93">
        <f t="shared" si="618"/>
        <v>0</v>
      </c>
      <c r="BD2582" s="93">
        <f t="shared" si="619"/>
        <v>0</v>
      </c>
      <c r="BE2582" s="93">
        <v>0</v>
      </c>
      <c r="BF2582" s="93">
        <f t="shared" si="620"/>
        <v>0</v>
      </c>
      <c r="BH2582" s="93">
        <f t="shared" si="621"/>
        <v>0</v>
      </c>
      <c r="BI2582" s="93">
        <f t="shared" si="622"/>
        <v>0</v>
      </c>
      <c r="BJ2582" s="93">
        <f t="shared" si="623"/>
        <v>0</v>
      </c>
      <c r="BK2582" s="93"/>
      <c r="BL2582" s="93"/>
      <c r="BW2582" s="93" t="str">
        <f t="shared" si="624"/>
        <v>21</v>
      </c>
      <c r="BX2582" s="2" t="s">
        <v>3619</v>
      </c>
    </row>
    <row r="2583" spans="1:76" s="81" customFormat="1" ht="25.5" x14ac:dyDescent="0.25">
      <c r="A2583" s="66" t="s">
        <v>3637</v>
      </c>
      <c r="B2583" s="72" t="s">
        <v>55</v>
      </c>
      <c r="C2583" s="72" t="s">
        <v>3621</v>
      </c>
      <c r="D2583" s="174" t="s">
        <v>3622</v>
      </c>
      <c r="E2583" s="174"/>
      <c r="F2583" s="72" t="s">
        <v>3514</v>
      </c>
      <c r="G2583" s="90">
        <v>2</v>
      </c>
      <c r="H2583" s="91"/>
      <c r="I2583" s="92" t="s">
        <v>63</v>
      </c>
      <c r="J2583" s="90">
        <f t="shared" si="597"/>
        <v>0</v>
      </c>
      <c r="K2583" s="90">
        <f t="shared" si="598"/>
        <v>0</v>
      </c>
      <c r="L2583" s="90">
        <f t="shared" si="599"/>
        <v>0</v>
      </c>
      <c r="M2583" s="90">
        <f t="shared" si="600"/>
        <v>0</v>
      </c>
      <c r="N2583" s="90">
        <v>0</v>
      </c>
      <c r="O2583" s="90">
        <f t="shared" si="601"/>
        <v>0</v>
      </c>
      <c r="P2583" s="92" t="s">
        <v>1647</v>
      </c>
      <c r="Z2583" s="93">
        <f t="shared" si="602"/>
        <v>0</v>
      </c>
      <c r="AB2583" s="93">
        <f t="shared" si="603"/>
        <v>0</v>
      </c>
      <c r="AC2583" s="93">
        <f t="shared" si="604"/>
        <v>0</v>
      </c>
      <c r="AD2583" s="93">
        <f t="shared" si="605"/>
        <v>0</v>
      </c>
      <c r="AE2583" s="93">
        <f t="shared" si="606"/>
        <v>0</v>
      </c>
      <c r="AF2583" s="93">
        <f t="shared" si="607"/>
        <v>0</v>
      </c>
      <c r="AG2583" s="93">
        <f t="shared" si="608"/>
        <v>0</v>
      </c>
      <c r="AH2583" s="93">
        <f t="shared" si="609"/>
        <v>0</v>
      </c>
      <c r="AI2583" s="88" t="s">
        <v>55</v>
      </c>
      <c r="AJ2583" s="93">
        <f t="shared" si="610"/>
        <v>0</v>
      </c>
      <c r="AK2583" s="93">
        <f t="shared" si="611"/>
        <v>0</v>
      </c>
      <c r="AL2583" s="93">
        <f t="shared" si="612"/>
        <v>0</v>
      </c>
      <c r="AN2583" s="93">
        <v>21</v>
      </c>
      <c r="AO2583" s="93">
        <f t="shared" si="613"/>
        <v>0</v>
      </c>
      <c r="AP2583" s="93">
        <f t="shared" si="614"/>
        <v>0</v>
      </c>
      <c r="AQ2583" s="94" t="s">
        <v>118</v>
      </c>
      <c r="AV2583" s="93">
        <f t="shared" si="615"/>
        <v>0</v>
      </c>
      <c r="AW2583" s="93">
        <f t="shared" si="616"/>
        <v>0</v>
      </c>
      <c r="AX2583" s="93">
        <f t="shared" si="617"/>
        <v>0</v>
      </c>
      <c r="AY2583" s="94" t="s">
        <v>3494</v>
      </c>
      <c r="AZ2583" s="94" t="s">
        <v>3495</v>
      </c>
      <c r="BA2583" s="88" t="s">
        <v>67</v>
      </c>
      <c r="BC2583" s="93">
        <f t="shared" si="618"/>
        <v>0</v>
      </c>
      <c r="BD2583" s="93">
        <f t="shared" si="619"/>
        <v>0</v>
      </c>
      <c r="BE2583" s="93">
        <v>0</v>
      </c>
      <c r="BF2583" s="93">
        <f t="shared" si="620"/>
        <v>0</v>
      </c>
      <c r="BH2583" s="93">
        <f t="shared" si="621"/>
        <v>0</v>
      </c>
      <c r="BI2583" s="93">
        <f t="shared" si="622"/>
        <v>0</v>
      </c>
      <c r="BJ2583" s="93">
        <f t="shared" si="623"/>
        <v>0</v>
      </c>
      <c r="BK2583" s="93"/>
      <c r="BL2583" s="93"/>
      <c r="BW2583" s="93" t="str">
        <f t="shared" si="624"/>
        <v>21</v>
      </c>
      <c r="BX2583" s="2" t="s">
        <v>3622</v>
      </c>
    </row>
    <row r="2584" spans="1:76" s="81" customFormat="1" ht="25.5" x14ac:dyDescent="0.25">
      <c r="A2584" s="66" t="s">
        <v>3640</v>
      </c>
      <c r="B2584" s="72" t="s">
        <v>55</v>
      </c>
      <c r="C2584" s="72" t="s">
        <v>3624</v>
      </c>
      <c r="D2584" s="174" t="s">
        <v>3625</v>
      </c>
      <c r="E2584" s="174"/>
      <c r="F2584" s="72" t="s">
        <v>3514</v>
      </c>
      <c r="G2584" s="90">
        <v>17</v>
      </c>
      <c r="H2584" s="91"/>
      <c r="I2584" s="92" t="s">
        <v>63</v>
      </c>
      <c r="J2584" s="90">
        <f t="shared" si="597"/>
        <v>0</v>
      </c>
      <c r="K2584" s="90">
        <f t="shared" si="598"/>
        <v>0</v>
      </c>
      <c r="L2584" s="90">
        <f t="shared" si="599"/>
        <v>0</v>
      </c>
      <c r="M2584" s="90">
        <f t="shared" si="600"/>
        <v>0</v>
      </c>
      <c r="N2584" s="90">
        <v>0</v>
      </c>
      <c r="O2584" s="90">
        <f t="shared" si="601"/>
        <v>0</v>
      </c>
      <c r="P2584" s="92" t="s">
        <v>1647</v>
      </c>
      <c r="Z2584" s="93">
        <f t="shared" si="602"/>
        <v>0</v>
      </c>
      <c r="AB2584" s="93">
        <f t="shared" si="603"/>
        <v>0</v>
      </c>
      <c r="AC2584" s="93">
        <f t="shared" si="604"/>
        <v>0</v>
      </c>
      <c r="AD2584" s="93">
        <f t="shared" si="605"/>
        <v>0</v>
      </c>
      <c r="AE2584" s="93">
        <f t="shared" si="606"/>
        <v>0</v>
      </c>
      <c r="AF2584" s="93">
        <f t="shared" si="607"/>
        <v>0</v>
      </c>
      <c r="AG2584" s="93">
        <f t="shared" si="608"/>
        <v>0</v>
      </c>
      <c r="AH2584" s="93">
        <f t="shared" si="609"/>
        <v>0</v>
      </c>
      <c r="AI2584" s="88" t="s">
        <v>55</v>
      </c>
      <c r="AJ2584" s="93">
        <f t="shared" si="610"/>
        <v>0</v>
      </c>
      <c r="AK2584" s="93">
        <f t="shared" si="611"/>
        <v>0</v>
      </c>
      <c r="AL2584" s="93">
        <f t="shared" si="612"/>
        <v>0</v>
      </c>
      <c r="AN2584" s="93">
        <v>21</v>
      </c>
      <c r="AO2584" s="93">
        <f t="shared" si="613"/>
        <v>0</v>
      </c>
      <c r="AP2584" s="93">
        <f t="shared" si="614"/>
        <v>0</v>
      </c>
      <c r="AQ2584" s="94" t="s">
        <v>118</v>
      </c>
      <c r="AV2584" s="93">
        <f t="shared" si="615"/>
        <v>0</v>
      </c>
      <c r="AW2584" s="93">
        <f t="shared" si="616"/>
        <v>0</v>
      </c>
      <c r="AX2584" s="93">
        <f t="shared" si="617"/>
        <v>0</v>
      </c>
      <c r="AY2584" s="94" t="s">
        <v>3494</v>
      </c>
      <c r="AZ2584" s="94" t="s">
        <v>3495</v>
      </c>
      <c r="BA2584" s="88" t="s">
        <v>67</v>
      </c>
      <c r="BC2584" s="93">
        <f t="shared" si="618"/>
        <v>0</v>
      </c>
      <c r="BD2584" s="93">
        <f t="shared" si="619"/>
        <v>0</v>
      </c>
      <c r="BE2584" s="93">
        <v>0</v>
      </c>
      <c r="BF2584" s="93">
        <f t="shared" si="620"/>
        <v>0</v>
      </c>
      <c r="BH2584" s="93">
        <f t="shared" si="621"/>
        <v>0</v>
      </c>
      <c r="BI2584" s="93">
        <f t="shared" si="622"/>
        <v>0</v>
      </c>
      <c r="BJ2584" s="93">
        <f t="shared" si="623"/>
        <v>0</v>
      </c>
      <c r="BK2584" s="93"/>
      <c r="BL2584" s="93"/>
      <c r="BW2584" s="93" t="str">
        <f t="shared" si="624"/>
        <v>21</v>
      </c>
      <c r="BX2584" s="2" t="s">
        <v>3625</v>
      </c>
    </row>
    <row r="2585" spans="1:76" s="81" customFormat="1" ht="25.5" x14ac:dyDescent="0.25">
      <c r="A2585" s="66" t="s">
        <v>3643</v>
      </c>
      <c r="B2585" s="72" t="s">
        <v>55</v>
      </c>
      <c r="C2585" s="72" t="s">
        <v>3627</v>
      </c>
      <c r="D2585" s="174" t="s">
        <v>3628</v>
      </c>
      <c r="E2585" s="174"/>
      <c r="F2585" s="72" t="s">
        <v>3514</v>
      </c>
      <c r="G2585" s="90">
        <v>1</v>
      </c>
      <c r="H2585" s="91"/>
      <c r="I2585" s="92" t="s">
        <v>63</v>
      </c>
      <c r="J2585" s="90">
        <f t="shared" si="597"/>
        <v>0</v>
      </c>
      <c r="K2585" s="90">
        <f t="shared" si="598"/>
        <v>0</v>
      </c>
      <c r="L2585" s="90">
        <f t="shared" si="599"/>
        <v>0</v>
      </c>
      <c r="M2585" s="90">
        <f t="shared" si="600"/>
        <v>0</v>
      </c>
      <c r="N2585" s="90">
        <v>0</v>
      </c>
      <c r="O2585" s="90">
        <f t="shared" si="601"/>
        <v>0</v>
      </c>
      <c r="P2585" s="92" t="s">
        <v>1647</v>
      </c>
      <c r="Z2585" s="93">
        <f t="shared" si="602"/>
        <v>0</v>
      </c>
      <c r="AB2585" s="93">
        <f t="shared" si="603"/>
        <v>0</v>
      </c>
      <c r="AC2585" s="93">
        <f t="shared" si="604"/>
        <v>0</v>
      </c>
      <c r="AD2585" s="93">
        <f t="shared" si="605"/>
        <v>0</v>
      </c>
      <c r="AE2585" s="93">
        <f t="shared" si="606"/>
        <v>0</v>
      </c>
      <c r="AF2585" s="93">
        <f t="shared" si="607"/>
        <v>0</v>
      </c>
      <c r="AG2585" s="93">
        <f t="shared" si="608"/>
        <v>0</v>
      </c>
      <c r="AH2585" s="93">
        <f t="shared" si="609"/>
        <v>0</v>
      </c>
      <c r="AI2585" s="88" t="s">
        <v>55</v>
      </c>
      <c r="AJ2585" s="93">
        <f t="shared" si="610"/>
        <v>0</v>
      </c>
      <c r="AK2585" s="93">
        <f t="shared" si="611"/>
        <v>0</v>
      </c>
      <c r="AL2585" s="93">
        <f t="shared" si="612"/>
        <v>0</v>
      </c>
      <c r="AN2585" s="93">
        <v>21</v>
      </c>
      <c r="AO2585" s="93">
        <f t="shared" si="613"/>
        <v>0</v>
      </c>
      <c r="AP2585" s="93">
        <f t="shared" si="614"/>
        <v>0</v>
      </c>
      <c r="AQ2585" s="94" t="s">
        <v>118</v>
      </c>
      <c r="AV2585" s="93">
        <f t="shared" si="615"/>
        <v>0</v>
      </c>
      <c r="AW2585" s="93">
        <f t="shared" si="616"/>
        <v>0</v>
      </c>
      <c r="AX2585" s="93">
        <f t="shared" si="617"/>
        <v>0</v>
      </c>
      <c r="AY2585" s="94" t="s">
        <v>3494</v>
      </c>
      <c r="AZ2585" s="94" t="s">
        <v>3495</v>
      </c>
      <c r="BA2585" s="88" t="s">
        <v>67</v>
      </c>
      <c r="BC2585" s="93">
        <f t="shared" si="618"/>
        <v>0</v>
      </c>
      <c r="BD2585" s="93">
        <f t="shared" si="619"/>
        <v>0</v>
      </c>
      <c r="BE2585" s="93">
        <v>0</v>
      </c>
      <c r="BF2585" s="93">
        <f t="shared" si="620"/>
        <v>0</v>
      </c>
      <c r="BH2585" s="93">
        <f t="shared" si="621"/>
        <v>0</v>
      </c>
      <c r="BI2585" s="93">
        <f t="shared" si="622"/>
        <v>0</v>
      </c>
      <c r="BJ2585" s="93">
        <f t="shared" si="623"/>
        <v>0</v>
      </c>
      <c r="BK2585" s="93"/>
      <c r="BL2585" s="93"/>
      <c r="BW2585" s="93" t="str">
        <f t="shared" si="624"/>
        <v>21</v>
      </c>
      <c r="BX2585" s="2" t="s">
        <v>3628</v>
      </c>
    </row>
    <row r="2586" spans="1:76" s="81" customFormat="1" ht="25.5" x14ac:dyDescent="0.25">
      <c r="A2586" s="66" t="s">
        <v>3646</v>
      </c>
      <c r="B2586" s="72" t="s">
        <v>55</v>
      </c>
      <c r="C2586" s="72" t="s">
        <v>3630</v>
      </c>
      <c r="D2586" s="174" t="s">
        <v>3631</v>
      </c>
      <c r="E2586" s="174"/>
      <c r="F2586" s="72" t="s">
        <v>3514</v>
      </c>
      <c r="G2586" s="90">
        <v>127</v>
      </c>
      <c r="H2586" s="91"/>
      <c r="I2586" s="92" t="s">
        <v>63</v>
      </c>
      <c r="J2586" s="90">
        <f t="shared" si="597"/>
        <v>0</v>
      </c>
      <c r="K2586" s="90">
        <f t="shared" si="598"/>
        <v>0</v>
      </c>
      <c r="L2586" s="90">
        <f t="shared" si="599"/>
        <v>0</v>
      </c>
      <c r="M2586" s="90">
        <f t="shared" si="600"/>
        <v>0</v>
      </c>
      <c r="N2586" s="90">
        <v>0</v>
      </c>
      <c r="O2586" s="90">
        <f t="shared" si="601"/>
        <v>0</v>
      </c>
      <c r="P2586" s="92" t="s">
        <v>1647</v>
      </c>
      <c r="Z2586" s="93">
        <f t="shared" si="602"/>
        <v>0</v>
      </c>
      <c r="AB2586" s="93">
        <f t="shared" si="603"/>
        <v>0</v>
      </c>
      <c r="AC2586" s="93">
        <f t="shared" si="604"/>
        <v>0</v>
      </c>
      <c r="AD2586" s="93">
        <f t="shared" si="605"/>
        <v>0</v>
      </c>
      <c r="AE2586" s="93">
        <f t="shared" si="606"/>
        <v>0</v>
      </c>
      <c r="AF2586" s="93">
        <f t="shared" si="607"/>
        <v>0</v>
      </c>
      <c r="AG2586" s="93">
        <f t="shared" si="608"/>
        <v>0</v>
      </c>
      <c r="AH2586" s="93">
        <f t="shared" si="609"/>
        <v>0</v>
      </c>
      <c r="AI2586" s="88" t="s">
        <v>55</v>
      </c>
      <c r="AJ2586" s="93">
        <f t="shared" si="610"/>
        <v>0</v>
      </c>
      <c r="AK2586" s="93">
        <f t="shared" si="611"/>
        <v>0</v>
      </c>
      <c r="AL2586" s="93">
        <f t="shared" si="612"/>
        <v>0</v>
      </c>
      <c r="AN2586" s="93">
        <v>21</v>
      </c>
      <c r="AO2586" s="93">
        <f t="shared" si="613"/>
        <v>0</v>
      </c>
      <c r="AP2586" s="93">
        <f t="shared" si="614"/>
        <v>0</v>
      </c>
      <c r="AQ2586" s="94" t="s">
        <v>118</v>
      </c>
      <c r="AV2586" s="93">
        <f t="shared" si="615"/>
        <v>0</v>
      </c>
      <c r="AW2586" s="93">
        <f t="shared" si="616"/>
        <v>0</v>
      </c>
      <c r="AX2586" s="93">
        <f t="shared" si="617"/>
        <v>0</v>
      </c>
      <c r="AY2586" s="94" t="s">
        <v>3494</v>
      </c>
      <c r="AZ2586" s="94" t="s">
        <v>3495</v>
      </c>
      <c r="BA2586" s="88" t="s">
        <v>67</v>
      </c>
      <c r="BC2586" s="93">
        <f t="shared" si="618"/>
        <v>0</v>
      </c>
      <c r="BD2586" s="93">
        <f t="shared" si="619"/>
        <v>0</v>
      </c>
      <c r="BE2586" s="93">
        <v>0</v>
      </c>
      <c r="BF2586" s="93">
        <f t="shared" si="620"/>
        <v>0</v>
      </c>
      <c r="BH2586" s="93">
        <f t="shared" si="621"/>
        <v>0</v>
      </c>
      <c r="BI2586" s="93">
        <f t="shared" si="622"/>
        <v>0</v>
      </c>
      <c r="BJ2586" s="93">
        <f t="shared" si="623"/>
        <v>0</v>
      </c>
      <c r="BK2586" s="93"/>
      <c r="BL2586" s="93"/>
      <c r="BW2586" s="93" t="str">
        <f t="shared" si="624"/>
        <v>21</v>
      </c>
      <c r="BX2586" s="2" t="s">
        <v>3631</v>
      </c>
    </row>
    <row r="2587" spans="1:76" s="81" customFormat="1" ht="25.5" x14ac:dyDescent="0.25">
      <c r="A2587" s="66" t="s">
        <v>3649</v>
      </c>
      <c r="B2587" s="72" t="s">
        <v>55</v>
      </c>
      <c r="C2587" s="72" t="s">
        <v>3633</v>
      </c>
      <c r="D2587" s="174" t="s">
        <v>3634</v>
      </c>
      <c r="E2587" s="174"/>
      <c r="F2587" s="72" t="s">
        <v>3514</v>
      </c>
      <c r="G2587" s="90">
        <v>60</v>
      </c>
      <c r="H2587" s="91"/>
      <c r="I2587" s="92" t="s">
        <v>63</v>
      </c>
      <c r="J2587" s="90">
        <f t="shared" si="597"/>
        <v>0</v>
      </c>
      <c r="K2587" s="90">
        <f t="shared" si="598"/>
        <v>0</v>
      </c>
      <c r="L2587" s="90">
        <f t="shared" si="599"/>
        <v>0</v>
      </c>
      <c r="M2587" s="90">
        <f t="shared" si="600"/>
        <v>0</v>
      </c>
      <c r="N2587" s="90">
        <v>0</v>
      </c>
      <c r="O2587" s="90">
        <f t="shared" si="601"/>
        <v>0</v>
      </c>
      <c r="P2587" s="92" t="s">
        <v>1647</v>
      </c>
      <c r="Z2587" s="93">
        <f t="shared" si="602"/>
        <v>0</v>
      </c>
      <c r="AB2587" s="93">
        <f t="shared" si="603"/>
        <v>0</v>
      </c>
      <c r="AC2587" s="93">
        <f t="shared" si="604"/>
        <v>0</v>
      </c>
      <c r="AD2587" s="93">
        <f t="shared" si="605"/>
        <v>0</v>
      </c>
      <c r="AE2587" s="93">
        <f t="shared" si="606"/>
        <v>0</v>
      </c>
      <c r="AF2587" s="93">
        <f t="shared" si="607"/>
        <v>0</v>
      </c>
      <c r="AG2587" s="93">
        <f t="shared" si="608"/>
        <v>0</v>
      </c>
      <c r="AH2587" s="93">
        <f t="shared" si="609"/>
        <v>0</v>
      </c>
      <c r="AI2587" s="88" t="s">
        <v>55</v>
      </c>
      <c r="AJ2587" s="93">
        <f t="shared" si="610"/>
        <v>0</v>
      </c>
      <c r="AK2587" s="93">
        <f t="shared" si="611"/>
        <v>0</v>
      </c>
      <c r="AL2587" s="93">
        <f t="shared" si="612"/>
        <v>0</v>
      </c>
      <c r="AN2587" s="93">
        <v>21</v>
      </c>
      <c r="AO2587" s="93">
        <f t="shared" si="613"/>
        <v>0</v>
      </c>
      <c r="AP2587" s="93">
        <f t="shared" si="614"/>
        <v>0</v>
      </c>
      <c r="AQ2587" s="94" t="s">
        <v>118</v>
      </c>
      <c r="AV2587" s="93">
        <f t="shared" si="615"/>
        <v>0</v>
      </c>
      <c r="AW2587" s="93">
        <f t="shared" si="616"/>
        <v>0</v>
      </c>
      <c r="AX2587" s="93">
        <f t="shared" si="617"/>
        <v>0</v>
      </c>
      <c r="AY2587" s="94" t="s">
        <v>3494</v>
      </c>
      <c r="AZ2587" s="94" t="s">
        <v>3495</v>
      </c>
      <c r="BA2587" s="88" t="s">
        <v>67</v>
      </c>
      <c r="BC2587" s="93">
        <f t="shared" si="618"/>
        <v>0</v>
      </c>
      <c r="BD2587" s="93">
        <f t="shared" si="619"/>
        <v>0</v>
      </c>
      <c r="BE2587" s="93">
        <v>0</v>
      </c>
      <c r="BF2587" s="93">
        <f t="shared" si="620"/>
        <v>0</v>
      </c>
      <c r="BH2587" s="93">
        <f t="shared" si="621"/>
        <v>0</v>
      </c>
      <c r="BI2587" s="93">
        <f t="shared" si="622"/>
        <v>0</v>
      </c>
      <c r="BJ2587" s="93">
        <f t="shared" si="623"/>
        <v>0</v>
      </c>
      <c r="BK2587" s="93"/>
      <c r="BL2587" s="93"/>
      <c r="BW2587" s="93" t="str">
        <f t="shared" si="624"/>
        <v>21</v>
      </c>
      <c r="BX2587" s="2" t="s">
        <v>3634</v>
      </c>
    </row>
    <row r="2588" spans="1:76" s="81" customFormat="1" ht="25.5" x14ac:dyDescent="0.25">
      <c r="A2588" s="66" t="s">
        <v>3652</v>
      </c>
      <c r="B2588" s="72" t="s">
        <v>55</v>
      </c>
      <c r="C2588" s="72" t="s">
        <v>3635</v>
      </c>
      <c r="D2588" s="174" t="s">
        <v>3636</v>
      </c>
      <c r="E2588" s="174"/>
      <c r="F2588" s="72" t="s">
        <v>3514</v>
      </c>
      <c r="G2588" s="90">
        <v>19</v>
      </c>
      <c r="H2588" s="91"/>
      <c r="I2588" s="92" t="s">
        <v>63</v>
      </c>
      <c r="J2588" s="90">
        <f t="shared" si="597"/>
        <v>0</v>
      </c>
      <c r="K2588" s="90">
        <f t="shared" si="598"/>
        <v>0</v>
      </c>
      <c r="L2588" s="90">
        <f t="shared" si="599"/>
        <v>0</v>
      </c>
      <c r="M2588" s="90">
        <f t="shared" si="600"/>
        <v>0</v>
      </c>
      <c r="N2588" s="90">
        <v>0</v>
      </c>
      <c r="O2588" s="90">
        <f t="shared" si="601"/>
        <v>0</v>
      </c>
      <c r="P2588" s="92" t="s">
        <v>1647</v>
      </c>
      <c r="Z2588" s="93">
        <f t="shared" si="602"/>
        <v>0</v>
      </c>
      <c r="AB2588" s="93">
        <f t="shared" si="603"/>
        <v>0</v>
      </c>
      <c r="AC2588" s="93">
        <f t="shared" si="604"/>
        <v>0</v>
      </c>
      <c r="AD2588" s="93">
        <f t="shared" si="605"/>
        <v>0</v>
      </c>
      <c r="AE2588" s="93">
        <f t="shared" si="606"/>
        <v>0</v>
      </c>
      <c r="AF2588" s="93">
        <f t="shared" si="607"/>
        <v>0</v>
      </c>
      <c r="AG2588" s="93">
        <f t="shared" si="608"/>
        <v>0</v>
      </c>
      <c r="AH2588" s="93">
        <f t="shared" si="609"/>
        <v>0</v>
      </c>
      <c r="AI2588" s="88" t="s">
        <v>55</v>
      </c>
      <c r="AJ2588" s="93">
        <f t="shared" si="610"/>
        <v>0</v>
      </c>
      <c r="AK2588" s="93">
        <f t="shared" si="611"/>
        <v>0</v>
      </c>
      <c r="AL2588" s="93">
        <f t="shared" si="612"/>
        <v>0</v>
      </c>
      <c r="AN2588" s="93">
        <v>21</v>
      </c>
      <c r="AO2588" s="93">
        <f t="shared" si="613"/>
        <v>0</v>
      </c>
      <c r="AP2588" s="93">
        <f t="shared" si="614"/>
        <v>0</v>
      </c>
      <c r="AQ2588" s="94" t="s">
        <v>118</v>
      </c>
      <c r="AV2588" s="93">
        <f t="shared" si="615"/>
        <v>0</v>
      </c>
      <c r="AW2588" s="93">
        <f t="shared" si="616"/>
        <v>0</v>
      </c>
      <c r="AX2588" s="93">
        <f t="shared" si="617"/>
        <v>0</v>
      </c>
      <c r="AY2588" s="94" t="s">
        <v>3494</v>
      </c>
      <c r="AZ2588" s="94" t="s">
        <v>3495</v>
      </c>
      <c r="BA2588" s="88" t="s">
        <v>67</v>
      </c>
      <c r="BC2588" s="93">
        <f t="shared" si="618"/>
        <v>0</v>
      </c>
      <c r="BD2588" s="93">
        <f t="shared" si="619"/>
        <v>0</v>
      </c>
      <c r="BE2588" s="93">
        <v>0</v>
      </c>
      <c r="BF2588" s="93">
        <f t="shared" si="620"/>
        <v>0</v>
      </c>
      <c r="BH2588" s="93">
        <f t="shared" si="621"/>
        <v>0</v>
      </c>
      <c r="BI2588" s="93">
        <f t="shared" si="622"/>
        <v>0</v>
      </c>
      <c r="BJ2588" s="93">
        <f t="shared" si="623"/>
        <v>0</v>
      </c>
      <c r="BK2588" s="93"/>
      <c r="BL2588" s="93"/>
      <c r="BW2588" s="93" t="str">
        <f t="shared" si="624"/>
        <v>21</v>
      </c>
      <c r="BX2588" s="2" t="s">
        <v>3636</v>
      </c>
    </row>
    <row r="2589" spans="1:76" s="81" customFormat="1" ht="25.5" x14ac:dyDescent="0.25">
      <c r="A2589" s="66" t="s">
        <v>3655</v>
      </c>
      <c r="B2589" s="72" t="s">
        <v>55</v>
      </c>
      <c r="C2589" s="72" t="s">
        <v>3638</v>
      </c>
      <c r="D2589" s="174" t="s">
        <v>3639</v>
      </c>
      <c r="E2589" s="174"/>
      <c r="F2589" s="72" t="s">
        <v>3514</v>
      </c>
      <c r="G2589" s="90">
        <v>7</v>
      </c>
      <c r="H2589" s="91"/>
      <c r="I2589" s="92" t="s">
        <v>63</v>
      </c>
      <c r="J2589" s="90">
        <f t="shared" si="597"/>
        <v>0</v>
      </c>
      <c r="K2589" s="90">
        <f t="shared" si="598"/>
        <v>0</v>
      </c>
      <c r="L2589" s="90">
        <f t="shared" si="599"/>
        <v>0</v>
      </c>
      <c r="M2589" s="90">
        <f t="shared" si="600"/>
        <v>0</v>
      </c>
      <c r="N2589" s="90">
        <v>0</v>
      </c>
      <c r="O2589" s="90">
        <f t="shared" si="601"/>
        <v>0</v>
      </c>
      <c r="P2589" s="92" t="s">
        <v>1647</v>
      </c>
      <c r="Z2589" s="93">
        <f t="shared" si="602"/>
        <v>0</v>
      </c>
      <c r="AB2589" s="93">
        <f t="shared" si="603"/>
        <v>0</v>
      </c>
      <c r="AC2589" s="93">
        <f t="shared" si="604"/>
        <v>0</v>
      </c>
      <c r="AD2589" s="93">
        <f t="shared" si="605"/>
        <v>0</v>
      </c>
      <c r="AE2589" s="93">
        <f t="shared" si="606"/>
        <v>0</v>
      </c>
      <c r="AF2589" s="93">
        <f t="shared" si="607"/>
        <v>0</v>
      </c>
      <c r="AG2589" s="93">
        <f t="shared" si="608"/>
        <v>0</v>
      </c>
      <c r="AH2589" s="93">
        <f t="shared" si="609"/>
        <v>0</v>
      </c>
      <c r="AI2589" s="88" t="s">
        <v>55</v>
      </c>
      <c r="AJ2589" s="93">
        <f t="shared" si="610"/>
        <v>0</v>
      </c>
      <c r="AK2589" s="93">
        <f t="shared" si="611"/>
        <v>0</v>
      </c>
      <c r="AL2589" s="93">
        <f t="shared" si="612"/>
        <v>0</v>
      </c>
      <c r="AN2589" s="93">
        <v>21</v>
      </c>
      <c r="AO2589" s="93">
        <f t="shared" si="613"/>
        <v>0</v>
      </c>
      <c r="AP2589" s="93">
        <f t="shared" si="614"/>
        <v>0</v>
      </c>
      <c r="AQ2589" s="94" t="s">
        <v>118</v>
      </c>
      <c r="AV2589" s="93">
        <f t="shared" si="615"/>
        <v>0</v>
      </c>
      <c r="AW2589" s="93">
        <f t="shared" si="616"/>
        <v>0</v>
      </c>
      <c r="AX2589" s="93">
        <f t="shared" si="617"/>
        <v>0</v>
      </c>
      <c r="AY2589" s="94" t="s">
        <v>3494</v>
      </c>
      <c r="AZ2589" s="94" t="s">
        <v>3495</v>
      </c>
      <c r="BA2589" s="88" t="s">
        <v>67</v>
      </c>
      <c r="BC2589" s="93">
        <f t="shared" si="618"/>
        <v>0</v>
      </c>
      <c r="BD2589" s="93">
        <f t="shared" si="619"/>
        <v>0</v>
      </c>
      <c r="BE2589" s="93">
        <v>0</v>
      </c>
      <c r="BF2589" s="93">
        <f t="shared" si="620"/>
        <v>0</v>
      </c>
      <c r="BH2589" s="93">
        <f t="shared" si="621"/>
        <v>0</v>
      </c>
      <c r="BI2589" s="93">
        <f t="shared" si="622"/>
        <v>0</v>
      </c>
      <c r="BJ2589" s="93">
        <f t="shared" si="623"/>
        <v>0</v>
      </c>
      <c r="BK2589" s="93"/>
      <c r="BL2589" s="93"/>
      <c r="BW2589" s="93" t="str">
        <f t="shared" si="624"/>
        <v>21</v>
      </c>
      <c r="BX2589" s="2" t="s">
        <v>3639</v>
      </c>
    </row>
    <row r="2590" spans="1:76" s="81" customFormat="1" ht="25.5" x14ac:dyDescent="0.25">
      <c r="A2590" s="66" t="s">
        <v>3658</v>
      </c>
      <c r="B2590" s="72" t="s">
        <v>55</v>
      </c>
      <c r="C2590" s="72" t="s">
        <v>3641</v>
      </c>
      <c r="D2590" s="174" t="s">
        <v>3642</v>
      </c>
      <c r="E2590" s="174"/>
      <c r="F2590" s="72" t="s">
        <v>3514</v>
      </c>
      <c r="G2590" s="90">
        <v>21</v>
      </c>
      <c r="H2590" s="91"/>
      <c r="I2590" s="92" t="s">
        <v>63</v>
      </c>
      <c r="J2590" s="90">
        <f t="shared" si="597"/>
        <v>0</v>
      </c>
      <c r="K2590" s="90">
        <f t="shared" si="598"/>
        <v>0</v>
      </c>
      <c r="L2590" s="90">
        <f t="shared" si="599"/>
        <v>0</v>
      </c>
      <c r="M2590" s="90">
        <f t="shared" si="600"/>
        <v>0</v>
      </c>
      <c r="N2590" s="90">
        <v>0</v>
      </c>
      <c r="O2590" s="90">
        <f t="shared" si="601"/>
        <v>0</v>
      </c>
      <c r="P2590" s="92" t="s">
        <v>1647</v>
      </c>
      <c r="Z2590" s="93">
        <f t="shared" si="602"/>
        <v>0</v>
      </c>
      <c r="AB2590" s="93">
        <f t="shared" si="603"/>
        <v>0</v>
      </c>
      <c r="AC2590" s="93">
        <f t="shared" si="604"/>
        <v>0</v>
      </c>
      <c r="AD2590" s="93">
        <f t="shared" si="605"/>
        <v>0</v>
      </c>
      <c r="AE2590" s="93">
        <f t="shared" si="606"/>
        <v>0</v>
      </c>
      <c r="AF2590" s="93">
        <f t="shared" si="607"/>
        <v>0</v>
      </c>
      <c r="AG2590" s="93">
        <f t="shared" si="608"/>
        <v>0</v>
      </c>
      <c r="AH2590" s="93">
        <f t="shared" si="609"/>
        <v>0</v>
      </c>
      <c r="AI2590" s="88" t="s">
        <v>55</v>
      </c>
      <c r="AJ2590" s="93">
        <f t="shared" si="610"/>
        <v>0</v>
      </c>
      <c r="AK2590" s="93">
        <f t="shared" si="611"/>
        <v>0</v>
      </c>
      <c r="AL2590" s="93">
        <f t="shared" si="612"/>
        <v>0</v>
      </c>
      <c r="AN2590" s="93">
        <v>21</v>
      </c>
      <c r="AO2590" s="93">
        <f t="shared" si="613"/>
        <v>0</v>
      </c>
      <c r="AP2590" s="93">
        <f t="shared" si="614"/>
        <v>0</v>
      </c>
      <c r="AQ2590" s="94" t="s">
        <v>118</v>
      </c>
      <c r="AV2590" s="93">
        <f t="shared" si="615"/>
        <v>0</v>
      </c>
      <c r="AW2590" s="93">
        <f t="shared" si="616"/>
        <v>0</v>
      </c>
      <c r="AX2590" s="93">
        <f t="shared" si="617"/>
        <v>0</v>
      </c>
      <c r="AY2590" s="94" t="s">
        <v>3494</v>
      </c>
      <c r="AZ2590" s="94" t="s">
        <v>3495</v>
      </c>
      <c r="BA2590" s="88" t="s">
        <v>67</v>
      </c>
      <c r="BC2590" s="93">
        <f t="shared" si="618"/>
        <v>0</v>
      </c>
      <c r="BD2590" s="93">
        <f t="shared" si="619"/>
        <v>0</v>
      </c>
      <c r="BE2590" s="93">
        <v>0</v>
      </c>
      <c r="BF2590" s="93">
        <f t="shared" si="620"/>
        <v>0</v>
      </c>
      <c r="BH2590" s="93">
        <f t="shared" si="621"/>
        <v>0</v>
      </c>
      <c r="BI2590" s="93">
        <f t="shared" si="622"/>
        <v>0</v>
      </c>
      <c r="BJ2590" s="93">
        <f t="shared" si="623"/>
        <v>0</v>
      </c>
      <c r="BK2590" s="93"/>
      <c r="BL2590" s="93"/>
      <c r="BW2590" s="93" t="str">
        <f t="shared" si="624"/>
        <v>21</v>
      </c>
      <c r="BX2590" s="2" t="s">
        <v>3642</v>
      </c>
    </row>
    <row r="2591" spans="1:76" s="81" customFormat="1" ht="25.5" x14ac:dyDescent="0.25">
      <c r="A2591" s="66" t="s">
        <v>3661</v>
      </c>
      <c r="B2591" s="72" t="s">
        <v>55</v>
      </c>
      <c r="C2591" s="72" t="s">
        <v>3644</v>
      </c>
      <c r="D2591" s="174" t="s">
        <v>3645</v>
      </c>
      <c r="E2591" s="174"/>
      <c r="F2591" s="72" t="s">
        <v>3514</v>
      </c>
      <c r="G2591" s="90">
        <v>3</v>
      </c>
      <c r="H2591" s="91"/>
      <c r="I2591" s="92" t="s">
        <v>63</v>
      </c>
      <c r="J2591" s="90">
        <f t="shared" si="597"/>
        <v>0</v>
      </c>
      <c r="K2591" s="90">
        <f t="shared" si="598"/>
        <v>0</v>
      </c>
      <c r="L2591" s="90">
        <f t="shared" si="599"/>
        <v>0</v>
      </c>
      <c r="M2591" s="90">
        <f t="shared" si="600"/>
        <v>0</v>
      </c>
      <c r="N2591" s="90">
        <v>0</v>
      </c>
      <c r="O2591" s="90">
        <f t="shared" si="601"/>
        <v>0</v>
      </c>
      <c r="P2591" s="92" t="s">
        <v>1647</v>
      </c>
      <c r="Z2591" s="93">
        <f t="shared" si="602"/>
        <v>0</v>
      </c>
      <c r="AB2591" s="93">
        <f t="shared" si="603"/>
        <v>0</v>
      </c>
      <c r="AC2591" s="93">
        <f t="shared" si="604"/>
        <v>0</v>
      </c>
      <c r="AD2591" s="93">
        <f t="shared" si="605"/>
        <v>0</v>
      </c>
      <c r="AE2591" s="93">
        <f t="shared" si="606"/>
        <v>0</v>
      </c>
      <c r="AF2591" s="93">
        <f t="shared" si="607"/>
        <v>0</v>
      </c>
      <c r="AG2591" s="93">
        <f t="shared" si="608"/>
        <v>0</v>
      </c>
      <c r="AH2591" s="93">
        <f t="shared" si="609"/>
        <v>0</v>
      </c>
      <c r="AI2591" s="88" t="s">
        <v>55</v>
      </c>
      <c r="AJ2591" s="93">
        <f t="shared" si="610"/>
        <v>0</v>
      </c>
      <c r="AK2591" s="93">
        <f t="shared" si="611"/>
        <v>0</v>
      </c>
      <c r="AL2591" s="93">
        <f t="shared" si="612"/>
        <v>0</v>
      </c>
      <c r="AN2591" s="93">
        <v>21</v>
      </c>
      <c r="AO2591" s="93">
        <f t="shared" si="613"/>
        <v>0</v>
      </c>
      <c r="AP2591" s="93">
        <f t="shared" si="614"/>
        <v>0</v>
      </c>
      <c r="AQ2591" s="94" t="s">
        <v>118</v>
      </c>
      <c r="AV2591" s="93">
        <f t="shared" si="615"/>
        <v>0</v>
      </c>
      <c r="AW2591" s="93">
        <f t="shared" si="616"/>
        <v>0</v>
      </c>
      <c r="AX2591" s="93">
        <f t="shared" si="617"/>
        <v>0</v>
      </c>
      <c r="AY2591" s="94" t="s">
        <v>3494</v>
      </c>
      <c r="AZ2591" s="94" t="s">
        <v>3495</v>
      </c>
      <c r="BA2591" s="88" t="s">
        <v>67</v>
      </c>
      <c r="BC2591" s="93">
        <f t="shared" si="618"/>
        <v>0</v>
      </c>
      <c r="BD2591" s="93">
        <f t="shared" si="619"/>
        <v>0</v>
      </c>
      <c r="BE2591" s="93">
        <v>0</v>
      </c>
      <c r="BF2591" s="93">
        <f t="shared" si="620"/>
        <v>0</v>
      </c>
      <c r="BH2591" s="93">
        <f t="shared" si="621"/>
        <v>0</v>
      </c>
      <c r="BI2591" s="93">
        <f t="shared" si="622"/>
        <v>0</v>
      </c>
      <c r="BJ2591" s="93">
        <f t="shared" si="623"/>
        <v>0</v>
      </c>
      <c r="BK2591" s="93"/>
      <c r="BL2591" s="93"/>
      <c r="BW2591" s="93" t="str">
        <f t="shared" si="624"/>
        <v>21</v>
      </c>
      <c r="BX2591" s="2" t="s">
        <v>3645</v>
      </c>
    </row>
    <row r="2592" spans="1:76" s="81" customFormat="1" ht="25.5" x14ac:dyDescent="0.25">
      <c r="A2592" s="66" t="s">
        <v>3664</v>
      </c>
      <c r="B2592" s="72" t="s">
        <v>55</v>
      </c>
      <c r="C2592" s="72" t="s">
        <v>3647</v>
      </c>
      <c r="D2592" s="174" t="s">
        <v>3648</v>
      </c>
      <c r="E2592" s="174"/>
      <c r="F2592" s="72" t="s">
        <v>3514</v>
      </c>
      <c r="G2592" s="90">
        <v>6</v>
      </c>
      <c r="H2592" s="91"/>
      <c r="I2592" s="92" t="s">
        <v>63</v>
      </c>
      <c r="J2592" s="90">
        <f t="shared" si="597"/>
        <v>0</v>
      </c>
      <c r="K2592" s="90">
        <f t="shared" si="598"/>
        <v>0</v>
      </c>
      <c r="L2592" s="90">
        <f t="shared" si="599"/>
        <v>0</v>
      </c>
      <c r="M2592" s="90">
        <f t="shared" si="600"/>
        <v>0</v>
      </c>
      <c r="N2592" s="90">
        <v>0</v>
      </c>
      <c r="O2592" s="90">
        <f t="shared" si="601"/>
        <v>0</v>
      </c>
      <c r="P2592" s="92" t="s">
        <v>1647</v>
      </c>
      <c r="Z2592" s="93">
        <f t="shared" si="602"/>
        <v>0</v>
      </c>
      <c r="AB2592" s="93">
        <f t="shared" si="603"/>
        <v>0</v>
      </c>
      <c r="AC2592" s="93">
        <f t="shared" si="604"/>
        <v>0</v>
      </c>
      <c r="AD2592" s="93">
        <f t="shared" si="605"/>
        <v>0</v>
      </c>
      <c r="AE2592" s="93">
        <f t="shared" si="606"/>
        <v>0</v>
      </c>
      <c r="AF2592" s="93">
        <f t="shared" si="607"/>
        <v>0</v>
      </c>
      <c r="AG2592" s="93">
        <f t="shared" si="608"/>
        <v>0</v>
      </c>
      <c r="AH2592" s="93">
        <f t="shared" si="609"/>
        <v>0</v>
      </c>
      <c r="AI2592" s="88" t="s">
        <v>55</v>
      </c>
      <c r="AJ2592" s="93">
        <f t="shared" si="610"/>
        <v>0</v>
      </c>
      <c r="AK2592" s="93">
        <f t="shared" si="611"/>
        <v>0</v>
      </c>
      <c r="AL2592" s="93">
        <f t="shared" si="612"/>
        <v>0</v>
      </c>
      <c r="AN2592" s="93">
        <v>21</v>
      </c>
      <c r="AO2592" s="93">
        <f t="shared" si="613"/>
        <v>0</v>
      </c>
      <c r="AP2592" s="93">
        <f t="shared" si="614"/>
        <v>0</v>
      </c>
      <c r="AQ2592" s="94" t="s">
        <v>118</v>
      </c>
      <c r="AV2592" s="93">
        <f t="shared" si="615"/>
        <v>0</v>
      </c>
      <c r="AW2592" s="93">
        <f t="shared" si="616"/>
        <v>0</v>
      </c>
      <c r="AX2592" s="93">
        <f t="shared" si="617"/>
        <v>0</v>
      </c>
      <c r="AY2592" s="94" t="s">
        <v>3494</v>
      </c>
      <c r="AZ2592" s="94" t="s">
        <v>3495</v>
      </c>
      <c r="BA2592" s="88" t="s">
        <v>67</v>
      </c>
      <c r="BC2592" s="93">
        <f t="shared" si="618"/>
        <v>0</v>
      </c>
      <c r="BD2592" s="93">
        <f t="shared" si="619"/>
        <v>0</v>
      </c>
      <c r="BE2592" s="93">
        <v>0</v>
      </c>
      <c r="BF2592" s="93">
        <f t="shared" si="620"/>
        <v>0</v>
      </c>
      <c r="BH2592" s="93">
        <f t="shared" si="621"/>
        <v>0</v>
      </c>
      <c r="BI2592" s="93">
        <f t="shared" si="622"/>
        <v>0</v>
      </c>
      <c r="BJ2592" s="93">
        <f t="shared" si="623"/>
        <v>0</v>
      </c>
      <c r="BK2592" s="93"/>
      <c r="BL2592" s="93"/>
      <c r="BW2592" s="93" t="str">
        <f t="shared" si="624"/>
        <v>21</v>
      </c>
      <c r="BX2592" s="2" t="s">
        <v>3648</v>
      </c>
    </row>
    <row r="2593" spans="1:76" s="81" customFormat="1" ht="25.5" x14ac:dyDescent="0.25">
      <c r="A2593" s="66" t="s">
        <v>3667</v>
      </c>
      <c r="B2593" s="72" t="s">
        <v>55</v>
      </c>
      <c r="C2593" s="72" t="s">
        <v>3650</v>
      </c>
      <c r="D2593" s="174" t="s">
        <v>3651</v>
      </c>
      <c r="E2593" s="174"/>
      <c r="F2593" s="72" t="s">
        <v>3514</v>
      </c>
      <c r="G2593" s="90">
        <v>10</v>
      </c>
      <c r="H2593" s="91"/>
      <c r="I2593" s="92" t="s">
        <v>63</v>
      </c>
      <c r="J2593" s="90">
        <f t="shared" si="597"/>
        <v>0</v>
      </c>
      <c r="K2593" s="90">
        <f t="shared" si="598"/>
        <v>0</v>
      </c>
      <c r="L2593" s="90">
        <f t="shared" si="599"/>
        <v>0</v>
      </c>
      <c r="M2593" s="90">
        <f t="shared" si="600"/>
        <v>0</v>
      </c>
      <c r="N2593" s="90">
        <v>0</v>
      </c>
      <c r="O2593" s="90">
        <f t="shared" si="601"/>
        <v>0</v>
      </c>
      <c r="P2593" s="92" t="s">
        <v>1647</v>
      </c>
      <c r="Z2593" s="93">
        <f t="shared" si="602"/>
        <v>0</v>
      </c>
      <c r="AB2593" s="93">
        <f t="shared" si="603"/>
        <v>0</v>
      </c>
      <c r="AC2593" s="93">
        <f t="shared" si="604"/>
        <v>0</v>
      </c>
      <c r="AD2593" s="93">
        <f t="shared" si="605"/>
        <v>0</v>
      </c>
      <c r="AE2593" s="93">
        <f t="shared" si="606"/>
        <v>0</v>
      </c>
      <c r="AF2593" s="93">
        <f t="shared" si="607"/>
        <v>0</v>
      </c>
      <c r="AG2593" s="93">
        <f t="shared" si="608"/>
        <v>0</v>
      </c>
      <c r="AH2593" s="93">
        <f t="shared" si="609"/>
        <v>0</v>
      </c>
      <c r="AI2593" s="88" t="s">
        <v>55</v>
      </c>
      <c r="AJ2593" s="93">
        <f t="shared" si="610"/>
        <v>0</v>
      </c>
      <c r="AK2593" s="93">
        <f t="shared" si="611"/>
        <v>0</v>
      </c>
      <c r="AL2593" s="93">
        <f t="shared" si="612"/>
        <v>0</v>
      </c>
      <c r="AN2593" s="93">
        <v>21</v>
      </c>
      <c r="AO2593" s="93">
        <f t="shared" si="613"/>
        <v>0</v>
      </c>
      <c r="AP2593" s="93">
        <f t="shared" si="614"/>
        <v>0</v>
      </c>
      <c r="AQ2593" s="94" t="s">
        <v>118</v>
      </c>
      <c r="AV2593" s="93">
        <f t="shared" si="615"/>
        <v>0</v>
      </c>
      <c r="AW2593" s="93">
        <f t="shared" si="616"/>
        <v>0</v>
      </c>
      <c r="AX2593" s="93">
        <f t="shared" si="617"/>
        <v>0</v>
      </c>
      <c r="AY2593" s="94" t="s">
        <v>3494</v>
      </c>
      <c r="AZ2593" s="94" t="s">
        <v>3495</v>
      </c>
      <c r="BA2593" s="88" t="s">
        <v>67</v>
      </c>
      <c r="BC2593" s="93">
        <f t="shared" si="618"/>
        <v>0</v>
      </c>
      <c r="BD2593" s="93">
        <f t="shared" si="619"/>
        <v>0</v>
      </c>
      <c r="BE2593" s="93">
        <v>0</v>
      </c>
      <c r="BF2593" s="93">
        <f t="shared" si="620"/>
        <v>0</v>
      </c>
      <c r="BH2593" s="93">
        <f t="shared" si="621"/>
        <v>0</v>
      </c>
      <c r="BI2593" s="93">
        <f t="shared" si="622"/>
        <v>0</v>
      </c>
      <c r="BJ2593" s="93">
        <f t="shared" si="623"/>
        <v>0</v>
      </c>
      <c r="BK2593" s="93"/>
      <c r="BL2593" s="93"/>
      <c r="BW2593" s="93" t="str">
        <f t="shared" si="624"/>
        <v>21</v>
      </c>
      <c r="BX2593" s="2" t="s">
        <v>3651</v>
      </c>
    </row>
    <row r="2594" spans="1:76" s="81" customFormat="1" ht="25.5" x14ac:dyDescent="0.25">
      <c r="A2594" s="66" t="s">
        <v>3670</v>
      </c>
      <c r="B2594" s="72" t="s">
        <v>55</v>
      </c>
      <c r="C2594" s="72" t="s">
        <v>3653</v>
      </c>
      <c r="D2594" s="174" t="s">
        <v>3654</v>
      </c>
      <c r="E2594" s="174"/>
      <c r="F2594" s="72" t="s">
        <v>3514</v>
      </c>
      <c r="G2594" s="90">
        <v>9</v>
      </c>
      <c r="H2594" s="91"/>
      <c r="I2594" s="92" t="s">
        <v>63</v>
      </c>
      <c r="J2594" s="90">
        <f t="shared" si="597"/>
        <v>0</v>
      </c>
      <c r="K2594" s="90">
        <f t="shared" si="598"/>
        <v>0</v>
      </c>
      <c r="L2594" s="90">
        <f t="shared" si="599"/>
        <v>0</v>
      </c>
      <c r="M2594" s="90">
        <f t="shared" si="600"/>
        <v>0</v>
      </c>
      <c r="N2594" s="90">
        <v>0</v>
      </c>
      <c r="O2594" s="90">
        <f t="shared" si="601"/>
        <v>0</v>
      </c>
      <c r="P2594" s="92" t="s">
        <v>1647</v>
      </c>
      <c r="Z2594" s="93">
        <f t="shared" si="602"/>
        <v>0</v>
      </c>
      <c r="AB2594" s="93">
        <f t="shared" si="603"/>
        <v>0</v>
      </c>
      <c r="AC2594" s="93">
        <f t="shared" si="604"/>
        <v>0</v>
      </c>
      <c r="AD2594" s="93">
        <f t="shared" si="605"/>
        <v>0</v>
      </c>
      <c r="AE2594" s="93">
        <f t="shared" si="606"/>
        <v>0</v>
      </c>
      <c r="AF2594" s="93">
        <f t="shared" si="607"/>
        <v>0</v>
      </c>
      <c r="AG2594" s="93">
        <f t="shared" si="608"/>
        <v>0</v>
      </c>
      <c r="AH2594" s="93">
        <f t="shared" si="609"/>
        <v>0</v>
      </c>
      <c r="AI2594" s="88" t="s">
        <v>55</v>
      </c>
      <c r="AJ2594" s="93">
        <f t="shared" si="610"/>
        <v>0</v>
      </c>
      <c r="AK2594" s="93">
        <f t="shared" si="611"/>
        <v>0</v>
      </c>
      <c r="AL2594" s="93">
        <f t="shared" si="612"/>
        <v>0</v>
      </c>
      <c r="AN2594" s="93">
        <v>21</v>
      </c>
      <c r="AO2594" s="93">
        <f t="shared" si="613"/>
        <v>0</v>
      </c>
      <c r="AP2594" s="93">
        <f t="shared" si="614"/>
        <v>0</v>
      </c>
      <c r="AQ2594" s="94" t="s">
        <v>118</v>
      </c>
      <c r="AV2594" s="93">
        <f t="shared" si="615"/>
        <v>0</v>
      </c>
      <c r="AW2594" s="93">
        <f t="shared" si="616"/>
        <v>0</v>
      </c>
      <c r="AX2594" s="93">
        <f t="shared" si="617"/>
        <v>0</v>
      </c>
      <c r="AY2594" s="94" t="s">
        <v>3494</v>
      </c>
      <c r="AZ2594" s="94" t="s">
        <v>3495</v>
      </c>
      <c r="BA2594" s="88" t="s">
        <v>67</v>
      </c>
      <c r="BC2594" s="93">
        <f t="shared" si="618"/>
        <v>0</v>
      </c>
      <c r="BD2594" s="93">
        <f t="shared" si="619"/>
        <v>0</v>
      </c>
      <c r="BE2594" s="93">
        <v>0</v>
      </c>
      <c r="BF2594" s="93">
        <f t="shared" si="620"/>
        <v>0</v>
      </c>
      <c r="BH2594" s="93">
        <f t="shared" si="621"/>
        <v>0</v>
      </c>
      <c r="BI2594" s="93">
        <f t="shared" si="622"/>
        <v>0</v>
      </c>
      <c r="BJ2594" s="93">
        <f t="shared" si="623"/>
        <v>0</v>
      </c>
      <c r="BK2594" s="93"/>
      <c r="BL2594" s="93"/>
      <c r="BW2594" s="93" t="str">
        <f t="shared" si="624"/>
        <v>21</v>
      </c>
      <c r="BX2594" s="2" t="s">
        <v>3654</v>
      </c>
    </row>
    <row r="2595" spans="1:76" s="81" customFormat="1" ht="25.5" x14ac:dyDescent="0.25">
      <c r="A2595" s="66" t="s">
        <v>3673</v>
      </c>
      <c r="B2595" s="72" t="s">
        <v>55</v>
      </c>
      <c r="C2595" s="72" t="s">
        <v>3656</v>
      </c>
      <c r="D2595" s="174" t="s">
        <v>3657</v>
      </c>
      <c r="E2595" s="174"/>
      <c r="F2595" s="72" t="s">
        <v>3514</v>
      </c>
      <c r="G2595" s="90">
        <v>1</v>
      </c>
      <c r="H2595" s="91"/>
      <c r="I2595" s="92" t="s">
        <v>63</v>
      </c>
      <c r="J2595" s="90">
        <f t="shared" si="597"/>
        <v>0</v>
      </c>
      <c r="K2595" s="90">
        <f t="shared" si="598"/>
        <v>0</v>
      </c>
      <c r="L2595" s="90">
        <f t="shared" si="599"/>
        <v>0</v>
      </c>
      <c r="M2595" s="90">
        <f t="shared" si="600"/>
        <v>0</v>
      </c>
      <c r="N2595" s="90">
        <v>0</v>
      </c>
      <c r="O2595" s="90">
        <f t="shared" si="601"/>
        <v>0</v>
      </c>
      <c r="P2595" s="92" t="s">
        <v>1647</v>
      </c>
      <c r="Z2595" s="93">
        <f t="shared" si="602"/>
        <v>0</v>
      </c>
      <c r="AB2595" s="93">
        <f t="shared" si="603"/>
        <v>0</v>
      </c>
      <c r="AC2595" s="93">
        <f t="shared" si="604"/>
        <v>0</v>
      </c>
      <c r="AD2595" s="93">
        <f t="shared" si="605"/>
        <v>0</v>
      </c>
      <c r="AE2595" s="93">
        <f t="shared" si="606"/>
        <v>0</v>
      </c>
      <c r="AF2595" s="93">
        <f t="shared" si="607"/>
        <v>0</v>
      </c>
      <c r="AG2595" s="93">
        <f t="shared" si="608"/>
        <v>0</v>
      </c>
      <c r="AH2595" s="93">
        <f t="shared" si="609"/>
        <v>0</v>
      </c>
      <c r="AI2595" s="88" t="s">
        <v>55</v>
      </c>
      <c r="AJ2595" s="93">
        <f t="shared" si="610"/>
        <v>0</v>
      </c>
      <c r="AK2595" s="93">
        <f t="shared" si="611"/>
        <v>0</v>
      </c>
      <c r="AL2595" s="93">
        <f t="shared" si="612"/>
        <v>0</v>
      </c>
      <c r="AN2595" s="93">
        <v>21</v>
      </c>
      <c r="AO2595" s="93">
        <f t="shared" si="613"/>
        <v>0</v>
      </c>
      <c r="AP2595" s="93">
        <f t="shared" si="614"/>
        <v>0</v>
      </c>
      <c r="AQ2595" s="94" t="s">
        <v>118</v>
      </c>
      <c r="AV2595" s="93">
        <f t="shared" si="615"/>
        <v>0</v>
      </c>
      <c r="AW2595" s="93">
        <f t="shared" si="616"/>
        <v>0</v>
      </c>
      <c r="AX2595" s="93">
        <f t="shared" si="617"/>
        <v>0</v>
      </c>
      <c r="AY2595" s="94" t="s">
        <v>3494</v>
      </c>
      <c r="AZ2595" s="94" t="s">
        <v>3495</v>
      </c>
      <c r="BA2595" s="88" t="s">
        <v>67</v>
      </c>
      <c r="BC2595" s="93">
        <f t="shared" si="618"/>
        <v>0</v>
      </c>
      <c r="BD2595" s="93">
        <f t="shared" si="619"/>
        <v>0</v>
      </c>
      <c r="BE2595" s="93">
        <v>0</v>
      </c>
      <c r="BF2595" s="93">
        <f t="shared" si="620"/>
        <v>0</v>
      </c>
      <c r="BH2595" s="93">
        <f t="shared" si="621"/>
        <v>0</v>
      </c>
      <c r="BI2595" s="93">
        <f t="shared" si="622"/>
        <v>0</v>
      </c>
      <c r="BJ2595" s="93">
        <f t="shared" si="623"/>
        <v>0</v>
      </c>
      <c r="BK2595" s="93"/>
      <c r="BL2595" s="93"/>
      <c r="BW2595" s="93" t="str">
        <f t="shared" si="624"/>
        <v>21</v>
      </c>
      <c r="BX2595" s="2" t="s">
        <v>3657</v>
      </c>
    </row>
    <row r="2596" spans="1:76" s="81" customFormat="1" ht="25.5" x14ac:dyDescent="0.25">
      <c r="A2596" s="66" t="s">
        <v>3676</v>
      </c>
      <c r="B2596" s="72" t="s">
        <v>55</v>
      </c>
      <c r="C2596" s="72" t="s">
        <v>3659</v>
      </c>
      <c r="D2596" s="174" t="s">
        <v>3660</v>
      </c>
      <c r="E2596" s="174"/>
      <c r="F2596" s="72" t="s">
        <v>3514</v>
      </c>
      <c r="G2596" s="90">
        <v>11</v>
      </c>
      <c r="H2596" s="91"/>
      <c r="I2596" s="92" t="s">
        <v>63</v>
      </c>
      <c r="J2596" s="90">
        <f t="shared" si="597"/>
        <v>0</v>
      </c>
      <c r="K2596" s="90">
        <f t="shared" si="598"/>
        <v>0</v>
      </c>
      <c r="L2596" s="90">
        <f t="shared" si="599"/>
        <v>0</v>
      </c>
      <c r="M2596" s="90">
        <f t="shared" si="600"/>
        <v>0</v>
      </c>
      <c r="N2596" s="90">
        <v>0</v>
      </c>
      <c r="O2596" s="90">
        <f t="shared" si="601"/>
        <v>0</v>
      </c>
      <c r="P2596" s="92" t="s">
        <v>1647</v>
      </c>
      <c r="Z2596" s="93">
        <f t="shared" si="602"/>
        <v>0</v>
      </c>
      <c r="AB2596" s="93">
        <f t="shared" si="603"/>
        <v>0</v>
      </c>
      <c r="AC2596" s="93">
        <f t="shared" si="604"/>
        <v>0</v>
      </c>
      <c r="AD2596" s="93">
        <f t="shared" si="605"/>
        <v>0</v>
      </c>
      <c r="AE2596" s="93">
        <f t="shared" si="606"/>
        <v>0</v>
      </c>
      <c r="AF2596" s="93">
        <f t="shared" si="607"/>
        <v>0</v>
      </c>
      <c r="AG2596" s="93">
        <f t="shared" si="608"/>
        <v>0</v>
      </c>
      <c r="AH2596" s="93">
        <f t="shared" si="609"/>
        <v>0</v>
      </c>
      <c r="AI2596" s="88" t="s">
        <v>55</v>
      </c>
      <c r="AJ2596" s="93">
        <f t="shared" si="610"/>
        <v>0</v>
      </c>
      <c r="AK2596" s="93">
        <f t="shared" si="611"/>
        <v>0</v>
      </c>
      <c r="AL2596" s="93">
        <f t="shared" si="612"/>
        <v>0</v>
      </c>
      <c r="AN2596" s="93">
        <v>21</v>
      </c>
      <c r="AO2596" s="93">
        <f t="shared" si="613"/>
        <v>0</v>
      </c>
      <c r="AP2596" s="93">
        <f t="shared" si="614"/>
        <v>0</v>
      </c>
      <c r="AQ2596" s="94" t="s">
        <v>118</v>
      </c>
      <c r="AV2596" s="93">
        <f t="shared" si="615"/>
        <v>0</v>
      </c>
      <c r="AW2596" s="93">
        <f t="shared" si="616"/>
        <v>0</v>
      </c>
      <c r="AX2596" s="93">
        <f t="shared" si="617"/>
        <v>0</v>
      </c>
      <c r="AY2596" s="94" t="s">
        <v>3494</v>
      </c>
      <c r="AZ2596" s="94" t="s">
        <v>3495</v>
      </c>
      <c r="BA2596" s="88" t="s">
        <v>67</v>
      </c>
      <c r="BC2596" s="93">
        <f t="shared" si="618"/>
        <v>0</v>
      </c>
      <c r="BD2596" s="93">
        <f t="shared" si="619"/>
        <v>0</v>
      </c>
      <c r="BE2596" s="93">
        <v>0</v>
      </c>
      <c r="BF2596" s="93">
        <f t="shared" si="620"/>
        <v>0</v>
      </c>
      <c r="BH2596" s="93">
        <f t="shared" si="621"/>
        <v>0</v>
      </c>
      <c r="BI2596" s="93">
        <f t="shared" si="622"/>
        <v>0</v>
      </c>
      <c r="BJ2596" s="93">
        <f t="shared" si="623"/>
        <v>0</v>
      </c>
      <c r="BK2596" s="93"/>
      <c r="BL2596" s="93"/>
      <c r="BW2596" s="93" t="str">
        <f t="shared" si="624"/>
        <v>21</v>
      </c>
      <c r="BX2596" s="2" t="s">
        <v>3660</v>
      </c>
    </row>
    <row r="2597" spans="1:76" s="81" customFormat="1" ht="25.5" x14ac:dyDescent="0.25">
      <c r="A2597" s="66" t="s">
        <v>3679</v>
      </c>
      <c r="B2597" s="72" t="s">
        <v>55</v>
      </c>
      <c r="C2597" s="72" t="s">
        <v>3662</v>
      </c>
      <c r="D2597" s="174" t="s">
        <v>3663</v>
      </c>
      <c r="E2597" s="174"/>
      <c r="F2597" s="72" t="s">
        <v>3514</v>
      </c>
      <c r="G2597" s="90">
        <v>7</v>
      </c>
      <c r="H2597" s="91"/>
      <c r="I2597" s="92" t="s">
        <v>63</v>
      </c>
      <c r="J2597" s="90">
        <f t="shared" si="597"/>
        <v>0</v>
      </c>
      <c r="K2597" s="90">
        <f t="shared" si="598"/>
        <v>0</v>
      </c>
      <c r="L2597" s="90">
        <f t="shared" si="599"/>
        <v>0</v>
      </c>
      <c r="M2597" s="90">
        <f t="shared" si="600"/>
        <v>0</v>
      </c>
      <c r="N2597" s="90">
        <v>0</v>
      </c>
      <c r="O2597" s="90">
        <f t="shared" si="601"/>
        <v>0</v>
      </c>
      <c r="P2597" s="92" t="s">
        <v>1647</v>
      </c>
      <c r="Z2597" s="93">
        <f t="shared" si="602"/>
        <v>0</v>
      </c>
      <c r="AB2597" s="93">
        <f t="shared" si="603"/>
        <v>0</v>
      </c>
      <c r="AC2597" s="93">
        <f t="shared" si="604"/>
        <v>0</v>
      </c>
      <c r="AD2597" s="93">
        <f t="shared" si="605"/>
        <v>0</v>
      </c>
      <c r="AE2597" s="93">
        <f t="shared" si="606"/>
        <v>0</v>
      </c>
      <c r="AF2597" s="93">
        <f t="shared" si="607"/>
        <v>0</v>
      </c>
      <c r="AG2597" s="93">
        <f t="shared" si="608"/>
        <v>0</v>
      </c>
      <c r="AH2597" s="93">
        <f t="shared" si="609"/>
        <v>0</v>
      </c>
      <c r="AI2597" s="88" t="s">
        <v>55</v>
      </c>
      <c r="AJ2597" s="93">
        <f t="shared" si="610"/>
        <v>0</v>
      </c>
      <c r="AK2597" s="93">
        <f t="shared" si="611"/>
        <v>0</v>
      </c>
      <c r="AL2597" s="93">
        <f t="shared" si="612"/>
        <v>0</v>
      </c>
      <c r="AN2597" s="93">
        <v>21</v>
      </c>
      <c r="AO2597" s="93">
        <f t="shared" si="613"/>
        <v>0</v>
      </c>
      <c r="AP2597" s="93">
        <f t="shared" si="614"/>
        <v>0</v>
      </c>
      <c r="AQ2597" s="94" t="s">
        <v>118</v>
      </c>
      <c r="AV2597" s="93">
        <f t="shared" si="615"/>
        <v>0</v>
      </c>
      <c r="AW2597" s="93">
        <f t="shared" si="616"/>
        <v>0</v>
      </c>
      <c r="AX2597" s="93">
        <f t="shared" si="617"/>
        <v>0</v>
      </c>
      <c r="AY2597" s="94" t="s">
        <v>3494</v>
      </c>
      <c r="AZ2597" s="94" t="s">
        <v>3495</v>
      </c>
      <c r="BA2597" s="88" t="s">
        <v>67</v>
      </c>
      <c r="BC2597" s="93">
        <f t="shared" si="618"/>
        <v>0</v>
      </c>
      <c r="BD2597" s="93">
        <f t="shared" si="619"/>
        <v>0</v>
      </c>
      <c r="BE2597" s="93">
        <v>0</v>
      </c>
      <c r="BF2597" s="93">
        <f t="shared" si="620"/>
        <v>0</v>
      </c>
      <c r="BH2597" s="93">
        <f t="shared" si="621"/>
        <v>0</v>
      </c>
      <c r="BI2597" s="93">
        <f t="shared" si="622"/>
        <v>0</v>
      </c>
      <c r="BJ2597" s="93">
        <f t="shared" si="623"/>
        <v>0</v>
      </c>
      <c r="BK2597" s="93"/>
      <c r="BL2597" s="93"/>
      <c r="BW2597" s="93" t="str">
        <f t="shared" si="624"/>
        <v>21</v>
      </c>
      <c r="BX2597" s="2" t="s">
        <v>3663</v>
      </c>
    </row>
    <row r="2598" spans="1:76" s="81" customFormat="1" ht="25.5" x14ac:dyDescent="0.25">
      <c r="A2598" s="66" t="s">
        <v>3682</v>
      </c>
      <c r="B2598" s="72" t="s">
        <v>55</v>
      </c>
      <c r="C2598" s="72" t="s">
        <v>3665</v>
      </c>
      <c r="D2598" s="174" t="s">
        <v>3666</v>
      </c>
      <c r="E2598" s="174"/>
      <c r="F2598" s="72" t="s">
        <v>3514</v>
      </c>
      <c r="G2598" s="90">
        <v>1</v>
      </c>
      <c r="H2598" s="91"/>
      <c r="I2598" s="92" t="s">
        <v>63</v>
      </c>
      <c r="J2598" s="90">
        <f t="shared" si="597"/>
        <v>0</v>
      </c>
      <c r="K2598" s="90">
        <f t="shared" si="598"/>
        <v>0</v>
      </c>
      <c r="L2598" s="90">
        <f t="shared" si="599"/>
        <v>0</v>
      </c>
      <c r="M2598" s="90">
        <f t="shared" si="600"/>
        <v>0</v>
      </c>
      <c r="N2598" s="90">
        <v>0</v>
      </c>
      <c r="O2598" s="90">
        <f t="shared" si="601"/>
        <v>0</v>
      </c>
      <c r="P2598" s="92" t="s">
        <v>1647</v>
      </c>
      <c r="Z2598" s="93">
        <f t="shared" si="602"/>
        <v>0</v>
      </c>
      <c r="AB2598" s="93">
        <f t="shared" si="603"/>
        <v>0</v>
      </c>
      <c r="AC2598" s="93">
        <f t="shared" si="604"/>
        <v>0</v>
      </c>
      <c r="AD2598" s="93">
        <f t="shared" si="605"/>
        <v>0</v>
      </c>
      <c r="AE2598" s="93">
        <f t="shared" si="606"/>
        <v>0</v>
      </c>
      <c r="AF2598" s="93">
        <f t="shared" si="607"/>
        <v>0</v>
      </c>
      <c r="AG2598" s="93">
        <f t="shared" si="608"/>
        <v>0</v>
      </c>
      <c r="AH2598" s="93">
        <f t="shared" si="609"/>
        <v>0</v>
      </c>
      <c r="AI2598" s="88" t="s">
        <v>55</v>
      </c>
      <c r="AJ2598" s="93">
        <f t="shared" si="610"/>
        <v>0</v>
      </c>
      <c r="AK2598" s="93">
        <f t="shared" si="611"/>
        <v>0</v>
      </c>
      <c r="AL2598" s="93">
        <f t="shared" si="612"/>
        <v>0</v>
      </c>
      <c r="AN2598" s="93">
        <v>21</v>
      </c>
      <c r="AO2598" s="93">
        <f t="shared" si="613"/>
        <v>0</v>
      </c>
      <c r="AP2598" s="93">
        <f t="shared" si="614"/>
        <v>0</v>
      </c>
      <c r="AQ2598" s="94" t="s">
        <v>118</v>
      </c>
      <c r="AV2598" s="93">
        <f t="shared" si="615"/>
        <v>0</v>
      </c>
      <c r="AW2598" s="93">
        <f t="shared" si="616"/>
        <v>0</v>
      </c>
      <c r="AX2598" s="93">
        <f t="shared" si="617"/>
        <v>0</v>
      </c>
      <c r="AY2598" s="94" t="s">
        <v>3494</v>
      </c>
      <c r="AZ2598" s="94" t="s">
        <v>3495</v>
      </c>
      <c r="BA2598" s="88" t="s">
        <v>67</v>
      </c>
      <c r="BC2598" s="93">
        <f t="shared" si="618"/>
        <v>0</v>
      </c>
      <c r="BD2598" s="93">
        <f t="shared" si="619"/>
        <v>0</v>
      </c>
      <c r="BE2598" s="93">
        <v>0</v>
      </c>
      <c r="BF2598" s="93">
        <f t="shared" si="620"/>
        <v>0</v>
      </c>
      <c r="BH2598" s="93">
        <f t="shared" si="621"/>
        <v>0</v>
      </c>
      <c r="BI2598" s="93">
        <f t="shared" si="622"/>
        <v>0</v>
      </c>
      <c r="BJ2598" s="93">
        <f t="shared" si="623"/>
        <v>0</v>
      </c>
      <c r="BK2598" s="93"/>
      <c r="BL2598" s="93"/>
      <c r="BW2598" s="93" t="str">
        <f t="shared" si="624"/>
        <v>21</v>
      </c>
      <c r="BX2598" s="2" t="s">
        <v>3666</v>
      </c>
    </row>
    <row r="2599" spans="1:76" s="81" customFormat="1" ht="25.5" x14ac:dyDescent="0.25">
      <c r="A2599" s="66" t="s">
        <v>3685</v>
      </c>
      <c r="B2599" s="72" t="s">
        <v>55</v>
      </c>
      <c r="C2599" s="72" t="s">
        <v>3668</v>
      </c>
      <c r="D2599" s="174" t="s">
        <v>3669</v>
      </c>
      <c r="E2599" s="174"/>
      <c r="F2599" s="72" t="s">
        <v>3514</v>
      </c>
      <c r="G2599" s="90">
        <v>9</v>
      </c>
      <c r="H2599" s="91"/>
      <c r="I2599" s="92" t="s">
        <v>63</v>
      </c>
      <c r="J2599" s="90">
        <f t="shared" si="597"/>
        <v>0</v>
      </c>
      <c r="K2599" s="90">
        <f t="shared" si="598"/>
        <v>0</v>
      </c>
      <c r="L2599" s="90">
        <f t="shared" si="599"/>
        <v>0</v>
      </c>
      <c r="M2599" s="90">
        <f t="shared" si="600"/>
        <v>0</v>
      </c>
      <c r="N2599" s="90">
        <v>0</v>
      </c>
      <c r="O2599" s="90">
        <f t="shared" si="601"/>
        <v>0</v>
      </c>
      <c r="P2599" s="92" t="s">
        <v>1647</v>
      </c>
      <c r="Z2599" s="93">
        <f t="shared" si="602"/>
        <v>0</v>
      </c>
      <c r="AB2599" s="93">
        <f t="shared" si="603"/>
        <v>0</v>
      </c>
      <c r="AC2599" s="93">
        <f t="shared" si="604"/>
        <v>0</v>
      </c>
      <c r="AD2599" s="93">
        <f t="shared" si="605"/>
        <v>0</v>
      </c>
      <c r="AE2599" s="93">
        <f t="shared" si="606"/>
        <v>0</v>
      </c>
      <c r="AF2599" s="93">
        <f t="shared" si="607"/>
        <v>0</v>
      </c>
      <c r="AG2599" s="93">
        <f t="shared" si="608"/>
        <v>0</v>
      </c>
      <c r="AH2599" s="93">
        <f t="shared" si="609"/>
        <v>0</v>
      </c>
      <c r="AI2599" s="88" t="s">
        <v>55</v>
      </c>
      <c r="AJ2599" s="93">
        <f t="shared" si="610"/>
        <v>0</v>
      </c>
      <c r="AK2599" s="93">
        <f t="shared" si="611"/>
        <v>0</v>
      </c>
      <c r="AL2599" s="93">
        <f t="shared" si="612"/>
        <v>0</v>
      </c>
      <c r="AN2599" s="93">
        <v>21</v>
      </c>
      <c r="AO2599" s="93">
        <f t="shared" si="613"/>
        <v>0</v>
      </c>
      <c r="AP2599" s="93">
        <f t="shared" si="614"/>
        <v>0</v>
      </c>
      <c r="AQ2599" s="94" t="s">
        <v>118</v>
      </c>
      <c r="AV2599" s="93">
        <f t="shared" si="615"/>
        <v>0</v>
      </c>
      <c r="AW2599" s="93">
        <f t="shared" si="616"/>
        <v>0</v>
      </c>
      <c r="AX2599" s="93">
        <f t="shared" si="617"/>
        <v>0</v>
      </c>
      <c r="AY2599" s="94" t="s">
        <v>3494</v>
      </c>
      <c r="AZ2599" s="94" t="s">
        <v>3495</v>
      </c>
      <c r="BA2599" s="88" t="s">
        <v>67</v>
      </c>
      <c r="BC2599" s="93">
        <f t="shared" si="618"/>
        <v>0</v>
      </c>
      <c r="BD2599" s="93">
        <f t="shared" si="619"/>
        <v>0</v>
      </c>
      <c r="BE2599" s="93">
        <v>0</v>
      </c>
      <c r="BF2599" s="93">
        <f t="shared" si="620"/>
        <v>0</v>
      </c>
      <c r="BH2599" s="93">
        <f t="shared" si="621"/>
        <v>0</v>
      </c>
      <c r="BI2599" s="93">
        <f t="shared" si="622"/>
        <v>0</v>
      </c>
      <c r="BJ2599" s="93">
        <f t="shared" si="623"/>
        <v>0</v>
      </c>
      <c r="BK2599" s="93"/>
      <c r="BL2599" s="93"/>
      <c r="BW2599" s="93" t="str">
        <f t="shared" si="624"/>
        <v>21</v>
      </c>
      <c r="BX2599" s="2" t="s">
        <v>3669</v>
      </c>
    </row>
    <row r="2600" spans="1:76" s="81" customFormat="1" ht="25.5" x14ac:dyDescent="0.25">
      <c r="A2600" s="66" t="s">
        <v>3688</v>
      </c>
      <c r="B2600" s="72" t="s">
        <v>55</v>
      </c>
      <c r="C2600" s="72" t="s">
        <v>3671</v>
      </c>
      <c r="D2600" s="174" t="s">
        <v>3672</v>
      </c>
      <c r="E2600" s="174"/>
      <c r="F2600" s="72" t="s">
        <v>3514</v>
      </c>
      <c r="G2600" s="90">
        <v>1</v>
      </c>
      <c r="H2600" s="91"/>
      <c r="I2600" s="92" t="s">
        <v>63</v>
      </c>
      <c r="J2600" s="90">
        <f t="shared" si="597"/>
        <v>0</v>
      </c>
      <c r="K2600" s="90">
        <f t="shared" si="598"/>
        <v>0</v>
      </c>
      <c r="L2600" s="90">
        <f t="shared" si="599"/>
        <v>0</v>
      </c>
      <c r="M2600" s="90">
        <f t="shared" si="600"/>
        <v>0</v>
      </c>
      <c r="N2600" s="90">
        <v>0</v>
      </c>
      <c r="O2600" s="90">
        <f t="shared" si="601"/>
        <v>0</v>
      </c>
      <c r="P2600" s="92" t="s">
        <v>1647</v>
      </c>
      <c r="Z2600" s="93">
        <f t="shared" si="602"/>
        <v>0</v>
      </c>
      <c r="AB2600" s="93">
        <f t="shared" si="603"/>
        <v>0</v>
      </c>
      <c r="AC2600" s="93">
        <f t="shared" si="604"/>
        <v>0</v>
      </c>
      <c r="AD2600" s="93">
        <f t="shared" si="605"/>
        <v>0</v>
      </c>
      <c r="AE2600" s="93">
        <f t="shared" si="606"/>
        <v>0</v>
      </c>
      <c r="AF2600" s="93">
        <f t="shared" si="607"/>
        <v>0</v>
      </c>
      <c r="AG2600" s="93">
        <f t="shared" si="608"/>
        <v>0</v>
      </c>
      <c r="AH2600" s="93">
        <f t="shared" si="609"/>
        <v>0</v>
      </c>
      <c r="AI2600" s="88" t="s">
        <v>55</v>
      </c>
      <c r="AJ2600" s="93">
        <f t="shared" si="610"/>
        <v>0</v>
      </c>
      <c r="AK2600" s="93">
        <f t="shared" si="611"/>
        <v>0</v>
      </c>
      <c r="AL2600" s="93">
        <f t="shared" si="612"/>
        <v>0</v>
      </c>
      <c r="AN2600" s="93">
        <v>21</v>
      </c>
      <c r="AO2600" s="93">
        <f t="shared" si="613"/>
        <v>0</v>
      </c>
      <c r="AP2600" s="93">
        <f t="shared" si="614"/>
        <v>0</v>
      </c>
      <c r="AQ2600" s="94" t="s">
        <v>118</v>
      </c>
      <c r="AV2600" s="93">
        <f t="shared" si="615"/>
        <v>0</v>
      </c>
      <c r="AW2600" s="93">
        <f t="shared" si="616"/>
        <v>0</v>
      </c>
      <c r="AX2600" s="93">
        <f t="shared" si="617"/>
        <v>0</v>
      </c>
      <c r="AY2600" s="94" t="s">
        <v>3494</v>
      </c>
      <c r="AZ2600" s="94" t="s">
        <v>3495</v>
      </c>
      <c r="BA2600" s="88" t="s">
        <v>67</v>
      </c>
      <c r="BC2600" s="93">
        <f t="shared" si="618"/>
        <v>0</v>
      </c>
      <c r="BD2600" s="93">
        <f t="shared" si="619"/>
        <v>0</v>
      </c>
      <c r="BE2600" s="93">
        <v>0</v>
      </c>
      <c r="BF2600" s="93">
        <f t="shared" si="620"/>
        <v>0</v>
      </c>
      <c r="BH2600" s="93">
        <f t="shared" si="621"/>
        <v>0</v>
      </c>
      <c r="BI2600" s="93">
        <f t="shared" si="622"/>
        <v>0</v>
      </c>
      <c r="BJ2600" s="93">
        <f t="shared" si="623"/>
        <v>0</v>
      </c>
      <c r="BK2600" s="93"/>
      <c r="BL2600" s="93"/>
      <c r="BW2600" s="93" t="str">
        <f t="shared" si="624"/>
        <v>21</v>
      </c>
      <c r="BX2600" s="2" t="s">
        <v>3672</v>
      </c>
    </row>
    <row r="2601" spans="1:76" s="81" customFormat="1" ht="25.5" x14ac:dyDescent="0.25">
      <c r="A2601" s="66" t="s">
        <v>3691</v>
      </c>
      <c r="B2601" s="72" t="s">
        <v>55</v>
      </c>
      <c r="C2601" s="72" t="s">
        <v>3674</v>
      </c>
      <c r="D2601" s="174" t="s">
        <v>3675</v>
      </c>
      <c r="E2601" s="174"/>
      <c r="F2601" s="72" t="s">
        <v>3514</v>
      </c>
      <c r="G2601" s="90">
        <v>1</v>
      </c>
      <c r="H2601" s="91"/>
      <c r="I2601" s="92" t="s">
        <v>63</v>
      </c>
      <c r="J2601" s="90">
        <f t="shared" si="597"/>
        <v>0</v>
      </c>
      <c r="K2601" s="90">
        <f t="shared" si="598"/>
        <v>0</v>
      </c>
      <c r="L2601" s="90">
        <f t="shared" si="599"/>
        <v>0</v>
      </c>
      <c r="M2601" s="90">
        <f t="shared" si="600"/>
        <v>0</v>
      </c>
      <c r="N2601" s="90">
        <v>0</v>
      </c>
      <c r="O2601" s="90">
        <f t="shared" si="601"/>
        <v>0</v>
      </c>
      <c r="P2601" s="92" t="s">
        <v>1647</v>
      </c>
      <c r="Z2601" s="93">
        <f t="shared" si="602"/>
        <v>0</v>
      </c>
      <c r="AB2601" s="93">
        <f t="shared" si="603"/>
        <v>0</v>
      </c>
      <c r="AC2601" s="93">
        <f t="shared" si="604"/>
        <v>0</v>
      </c>
      <c r="AD2601" s="93">
        <f t="shared" si="605"/>
        <v>0</v>
      </c>
      <c r="AE2601" s="93">
        <f t="shared" si="606"/>
        <v>0</v>
      </c>
      <c r="AF2601" s="93">
        <f t="shared" si="607"/>
        <v>0</v>
      </c>
      <c r="AG2601" s="93">
        <f t="shared" si="608"/>
        <v>0</v>
      </c>
      <c r="AH2601" s="93">
        <f t="shared" si="609"/>
        <v>0</v>
      </c>
      <c r="AI2601" s="88" t="s">
        <v>55</v>
      </c>
      <c r="AJ2601" s="93">
        <f t="shared" si="610"/>
        <v>0</v>
      </c>
      <c r="AK2601" s="93">
        <f t="shared" si="611"/>
        <v>0</v>
      </c>
      <c r="AL2601" s="93">
        <f t="shared" si="612"/>
        <v>0</v>
      </c>
      <c r="AN2601" s="93">
        <v>21</v>
      </c>
      <c r="AO2601" s="93">
        <f t="shared" si="613"/>
        <v>0</v>
      </c>
      <c r="AP2601" s="93">
        <f t="shared" si="614"/>
        <v>0</v>
      </c>
      <c r="AQ2601" s="94" t="s">
        <v>118</v>
      </c>
      <c r="AV2601" s="93">
        <f t="shared" si="615"/>
        <v>0</v>
      </c>
      <c r="AW2601" s="93">
        <f t="shared" si="616"/>
        <v>0</v>
      </c>
      <c r="AX2601" s="93">
        <f t="shared" si="617"/>
        <v>0</v>
      </c>
      <c r="AY2601" s="94" t="s">
        <v>3494</v>
      </c>
      <c r="AZ2601" s="94" t="s">
        <v>3495</v>
      </c>
      <c r="BA2601" s="88" t="s">
        <v>67</v>
      </c>
      <c r="BC2601" s="93">
        <f t="shared" si="618"/>
        <v>0</v>
      </c>
      <c r="BD2601" s="93">
        <f t="shared" si="619"/>
        <v>0</v>
      </c>
      <c r="BE2601" s="93">
        <v>0</v>
      </c>
      <c r="BF2601" s="93">
        <f t="shared" si="620"/>
        <v>0</v>
      </c>
      <c r="BH2601" s="93">
        <f t="shared" si="621"/>
        <v>0</v>
      </c>
      <c r="BI2601" s="93">
        <f t="shared" si="622"/>
        <v>0</v>
      </c>
      <c r="BJ2601" s="93">
        <f t="shared" si="623"/>
        <v>0</v>
      </c>
      <c r="BK2601" s="93"/>
      <c r="BL2601" s="93"/>
      <c r="BW2601" s="93" t="str">
        <f t="shared" si="624"/>
        <v>21</v>
      </c>
      <c r="BX2601" s="2" t="s">
        <v>3675</v>
      </c>
    </row>
    <row r="2602" spans="1:76" s="81" customFormat="1" ht="25.5" x14ac:dyDescent="0.25">
      <c r="A2602" s="66" t="s">
        <v>3694</v>
      </c>
      <c r="B2602" s="72" t="s">
        <v>55</v>
      </c>
      <c r="C2602" s="72" t="s">
        <v>3677</v>
      </c>
      <c r="D2602" s="174" t="s">
        <v>3678</v>
      </c>
      <c r="E2602" s="174"/>
      <c r="F2602" s="72" t="s">
        <v>3514</v>
      </c>
      <c r="G2602" s="90">
        <v>1</v>
      </c>
      <c r="H2602" s="91"/>
      <c r="I2602" s="92" t="s">
        <v>63</v>
      </c>
      <c r="J2602" s="90">
        <f t="shared" ref="J2602:J2633" si="625">G2602*AO2602</f>
        <v>0</v>
      </c>
      <c r="K2602" s="90">
        <f t="shared" ref="K2602:K2633" si="626">G2602*AP2602</f>
        <v>0</v>
      </c>
      <c r="L2602" s="90">
        <f t="shared" ref="L2602:L2633" si="627">G2602*H2602</f>
        <v>0</v>
      </c>
      <c r="M2602" s="90">
        <f t="shared" ref="M2602:M2633" si="628">L2602*(1+BW2602/100)</f>
        <v>0</v>
      </c>
      <c r="N2602" s="90">
        <v>0</v>
      </c>
      <c r="O2602" s="90">
        <f t="shared" ref="O2602:O2633" si="629">G2602*N2602</f>
        <v>0</v>
      </c>
      <c r="P2602" s="92" t="s">
        <v>1647</v>
      </c>
      <c r="Z2602" s="93">
        <f t="shared" ref="Z2602:Z2633" si="630">IF(AQ2602="5",BJ2602,0)</f>
        <v>0</v>
      </c>
      <c r="AB2602" s="93">
        <f t="shared" ref="AB2602:AB2633" si="631">IF(AQ2602="1",BH2602,0)</f>
        <v>0</v>
      </c>
      <c r="AC2602" s="93">
        <f t="shared" ref="AC2602:AC2633" si="632">IF(AQ2602="1",BI2602,0)</f>
        <v>0</v>
      </c>
      <c r="AD2602" s="93">
        <f t="shared" ref="AD2602:AD2633" si="633">IF(AQ2602="7",BH2602,0)</f>
        <v>0</v>
      </c>
      <c r="AE2602" s="93">
        <f t="shared" ref="AE2602:AE2633" si="634">IF(AQ2602="7",BI2602,0)</f>
        <v>0</v>
      </c>
      <c r="AF2602" s="93">
        <f t="shared" ref="AF2602:AF2633" si="635">IF(AQ2602="2",BH2602,0)</f>
        <v>0</v>
      </c>
      <c r="AG2602" s="93">
        <f t="shared" ref="AG2602:AG2633" si="636">IF(AQ2602="2",BI2602,0)</f>
        <v>0</v>
      </c>
      <c r="AH2602" s="93">
        <f t="shared" ref="AH2602:AH2633" si="637">IF(AQ2602="0",BJ2602,0)</f>
        <v>0</v>
      </c>
      <c r="AI2602" s="88" t="s">
        <v>55</v>
      </c>
      <c r="AJ2602" s="93">
        <f t="shared" ref="AJ2602:AJ2633" si="638">IF(AN2602=0,L2602,0)</f>
        <v>0</v>
      </c>
      <c r="AK2602" s="93">
        <f t="shared" ref="AK2602:AK2633" si="639">IF(AN2602=12,L2602,0)</f>
        <v>0</v>
      </c>
      <c r="AL2602" s="93">
        <f t="shared" ref="AL2602:AL2633" si="640">IF(AN2602=21,L2602,0)</f>
        <v>0</v>
      </c>
      <c r="AN2602" s="93">
        <v>21</v>
      </c>
      <c r="AO2602" s="93">
        <f t="shared" ref="AO2602:AO2633" si="641">H2602*0</f>
        <v>0</v>
      </c>
      <c r="AP2602" s="93">
        <f t="shared" ref="AP2602:AP2633" si="642">H2602*(1-0)</f>
        <v>0</v>
      </c>
      <c r="AQ2602" s="94" t="s">
        <v>118</v>
      </c>
      <c r="AV2602" s="93">
        <f t="shared" ref="AV2602:AV2633" si="643">AW2602+AX2602</f>
        <v>0</v>
      </c>
      <c r="AW2602" s="93">
        <f t="shared" ref="AW2602:AW2633" si="644">G2602*AO2602</f>
        <v>0</v>
      </c>
      <c r="AX2602" s="93">
        <f t="shared" ref="AX2602:AX2633" si="645">G2602*AP2602</f>
        <v>0</v>
      </c>
      <c r="AY2602" s="94" t="s">
        <v>3494</v>
      </c>
      <c r="AZ2602" s="94" t="s">
        <v>3495</v>
      </c>
      <c r="BA2602" s="88" t="s">
        <v>67</v>
      </c>
      <c r="BC2602" s="93">
        <f t="shared" ref="BC2602:BC2633" si="646">AW2602+AX2602</f>
        <v>0</v>
      </c>
      <c r="BD2602" s="93">
        <f t="shared" ref="BD2602:BD2633" si="647">H2602/(100-BE2602)*100</f>
        <v>0</v>
      </c>
      <c r="BE2602" s="93">
        <v>0</v>
      </c>
      <c r="BF2602" s="93">
        <f t="shared" ref="BF2602:BF2633" si="648">O2602</f>
        <v>0</v>
      </c>
      <c r="BH2602" s="93">
        <f t="shared" ref="BH2602:BH2633" si="649">G2602*AO2602</f>
        <v>0</v>
      </c>
      <c r="BI2602" s="93">
        <f t="shared" ref="BI2602:BI2633" si="650">G2602*AP2602</f>
        <v>0</v>
      </c>
      <c r="BJ2602" s="93">
        <f t="shared" ref="BJ2602:BJ2633" si="651">G2602*H2602</f>
        <v>0</v>
      </c>
      <c r="BK2602" s="93"/>
      <c r="BL2602" s="93"/>
      <c r="BW2602" s="93" t="str">
        <f t="shared" ref="BW2602:BW2633" si="652">I2602</f>
        <v>21</v>
      </c>
      <c r="BX2602" s="2" t="s">
        <v>3678</v>
      </c>
    </row>
    <row r="2603" spans="1:76" s="81" customFormat="1" ht="25.5" x14ac:dyDescent="0.25">
      <c r="A2603" s="66" t="s">
        <v>3697</v>
      </c>
      <c r="B2603" s="72" t="s">
        <v>55</v>
      </c>
      <c r="C2603" s="72" t="s">
        <v>3680</v>
      </c>
      <c r="D2603" s="174" t="s">
        <v>3681</v>
      </c>
      <c r="E2603" s="174"/>
      <c r="F2603" s="72" t="s">
        <v>3514</v>
      </c>
      <c r="G2603" s="90">
        <v>14</v>
      </c>
      <c r="H2603" s="91"/>
      <c r="I2603" s="92" t="s">
        <v>63</v>
      </c>
      <c r="J2603" s="90">
        <f t="shared" si="625"/>
        <v>0</v>
      </c>
      <c r="K2603" s="90">
        <f t="shared" si="626"/>
        <v>0</v>
      </c>
      <c r="L2603" s="90">
        <f t="shared" si="627"/>
        <v>0</v>
      </c>
      <c r="M2603" s="90">
        <f t="shared" si="628"/>
        <v>0</v>
      </c>
      <c r="N2603" s="90">
        <v>0</v>
      </c>
      <c r="O2603" s="90">
        <f t="shared" si="629"/>
        <v>0</v>
      </c>
      <c r="P2603" s="92" t="s">
        <v>1647</v>
      </c>
      <c r="Z2603" s="93">
        <f t="shared" si="630"/>
        <v>0</v>
      </c>
      <c r="AB2603" s="93">
        <f t="shared" si="631"/>
        <v>0</v>
      </c>
      <c r="AC2603" s="93">
        <f t="shared" si="632"/>
        <v>0</v>
      </c>
      <c r="AD2603" s="93">
        <f t="shared" si="633"/>
        <v>0</v>
      </c>
      <c r="AE2603" s="93">
        <f t="shared" si="634"/>
        <v>0</v>
      </c>
      <c r="AF2603" s="93">
        <f t="shared" si="635"/>
        <v>0</v>
      </c>
      <c r="AG2603" s="93">
        <f t="shared" si="636"/>
        <v>0</v>
      </c>
      <c r="AH2603" s="93">
        <f t="shared" si="637"/>
        <v>0</v>
      </c>
      <c r="AI2603" s="88" t="s">
        <v>55</v>
      </c>
      <c r="AJ2603" s="93">
        <f t="shared" si="638"/>
        <v>0</v>
      </c>
      <c r="AK2603" s="93">
        <f t="shared" si="639"/>
        <v>0</v>
      </c>
      <c r="AL2603" s="93">
        <f t="shared" si="640"/>
        <v>0</v>
      </c>
      <c r="AN2603" s="93">
        <v>21</v>
      </c>
      <c r="AO2603" s="93">
        <f t="shared" si="641"/>
        <v>0</v>
      </c>
      <c r="AP2603" s="93">
        <f t="shared" si="642"/>
        <v>0</v>
      </c>
      <c r="AQ2603" s="94" t="s">
        <v>118</v>
      </c>
      <c r="AV2603" s="93">
        <f t="shared" si="643"/>
        <v>0</v>
      </c>
      <c r="AW2603" s="93">
        <f t="shared" si="644"/>
        <v>0</v>
      </c>
      <c r="AX2603" s="93">
        <f t="shared" si="645"/>
        <v>0</v>
      </c>
      <c r="AY2603" s="94" t="s">
        <v>3494</v>
      </c>
      <c r="AZ2603" s="94" t="s">
        <v>3495</v>
      </c>
      <c r="BA2603" s="88" t="s">
        <v>67</v>
      </c>
      <c r="BC2603" s="93">
        <f t="shared" si="646"/>
        <v>0</v>
      </c>
      <c r="BD2603" s="93">
        <f t="shared" si="647"/>
        <v>0</v>
      </c>
      <c r="BE2603" s="93">
        <v>0</v>
      </c>
      <c r="BF2603" s="93">
        <f t="shared" si="648"/>
        <v>0</v>
      </c>
      <c r="BH2603" s="93">
        <f t="shared" si="649"/>
        <v>0</v>
      </c>
      <c r="BI2603" s="93">
        <f t="shared" si="650"/>
        <v>0</v>
      </c>
      <c r="BJ2603" s="93">
        <f t="shared" si="651"/>
        <v>0</v>
      </c>
      <c r="BK2603" s="93"/>
      <c r="BL2603" s="93"/>
      <c r="BW2603" s="93" t="str">
        <f t="shared" si="652"/>
        <v>21</v>
      </c>
      <c r="BX2603" s="2" t="s">
        <v>3681</v>
      </c>
    </row>
    <row r="2604" spans="1:76" s="81" customFormat="1" ht="25.5" x14ac:dyDescent="0.25">
      <c r="A2604" s="66" t="s">
        <v>3700</v>
      </c>
      <c r="B2604" s="72" t="s">
        <v>55</v>
      </c>
      <c r="C2604" s="72" t="s">
        <v>3683</v>
      </c>
      <c r="D2604" s="174" t="s">
        <v>3684</v>
      </c>
      <c r="E2604" s="174"/>
      <c r="F2604" s="72" t="s">
        <v>3514</v>
      </c>
      <c r="G2604" s="90">
        <v>18</v>
      </c>
      <c r="H2604" s="91"/>
      <c r="I2604" s="92" t="s">
        <v>63</v>
      </c>
      <c r="J2604" s="90">
        <f t="shared" si="625"/>
        <v>0</v>
      </c>
      <c r="K2604" s="90">
        <f t="shared" si="626"/>
        <v>0</v>
      </c>
      <c r="L2604" s="90">
        <f t="shared" si="627"/>
        <v>0</v>
      </c>
      <c r="M2604" s="90">
        <f t="shared" si="628"/>
        <v>0</v>
      </c>
      <c r="N2604" s="90">
        <v>0</v>
      </c>
      <c r="O2604" s="90">
        <f t="shared" si="629"/>
        <v>0</v>
      </c>
      <c r="P2604" s="92" t="s">
        <v>1647</v>
      </c>
      <c r="Z2604" s="93">
        <f t="shared" si="630"/>
        <v>0</v>
      </c>
      <c r="AB2604" s="93">
        <f t="shared" si="631"/>
        <v>0</v>
      </c>
      <c r="AC2604" s="93">
        <f t="shared" si="632"/>
        <v>0</v>
      </c>
      <c r="AD2604" s="93">
        <f t="shared" si="633"/>
        <v>0</v>
      </c>
      <c r="AE2604" s="93">
        <f t="shared" si="634"/>
        <v>0</v>
      </c>
      <c r="AF2604" s="93">
        <f t="shared" si="635"/>
        <v>0</v>
      </c>
      <c r="AG2604" s="93">
        <f t="shared" si="636"/>
        <v>0</v>
      </c>
      <c r="AH2604" s="93">
        <f t="shared" si="637"/>
        <v>0</v>
      </c>
      <c r="AI2604" s="88" t="s">
        <v>55</v>
      </c>
      <c r="AJ2604" s="93">
        <f t="shared" si="638"/>
        <v>0</v>
      </c>
      <c r="AK2604" s="93">
        <f t="shared" si="639"/>
        <v>0</v>
      </c>
      <c r="AL2604" s="93">
        <f t="shared" si="640"/>
        <v>0</v>
      </c>
      <c r="AN2604" s="93">
        <v>21</v>
      </c>
      <c r="AO2604" s="93">
        <f t="shared" si="641"/>
        <v>0</v>
      </c>
      <c r="AP2604" s="93">
        <f t="shared" si="642"/>
        <v>0</v>
      </c>
      <c r="AQ2604" s="94" t="s">
        <v>118</v>
      </c>
      <c r="AV2604" s="93">
        <f t="shared" si="643"/>
        <v>0</v>
      </c>
      <c r="AW2604" s="93">
        <f t="shared" si="644"/>
        <v>0</v>
      </c>
      <c r="AX2604" s="93">
        <f t="shared" si="645"/>
        <v>0</v>
      </c>
      <c r="AY2604" s="94" t="s">
        <v>3494</v>
      </c>
      <c r="AZ2604" s="94" t="s">
        <v>3495</v>
      </c>
      <c r="BA2604" s="88" t="s">
        <v>67</v>
      </c>
      <c r="BC2604" s="93">
        <f t="shared" si="646"/>
        <v>0</v>
      </c>
      <c r="BD2604" s="93">
        <f t="shared" si="647"/>
        <v>0</v>
      </c>
      <c r="BE2604" s="93">
        <v>0</v>
      </c>
      <c r="BF2604" s="93">
        <f t="shared" si="648"/>
        <v>0</v>
      </c>
      <c r="BH2604" s="93">
        <f t="shared" si="649"/>
        <v>0</v>
      </c>
      <c r="BI2604" s="93">
        <f t="shared" si="650"/>
        <v>0</v>
      </c>
      <c r="BJ2604" s="93">
        <f t="shared" si="651"/>
        <v>0</v>
      </c>
      <c r="BK2604" s="93"/>
      <c r="BL2604" s="93"/>
      <c r="BW2604" s="93" t="str">
        <f t="shared" si="652"/>
        <v>21</v>
      </c>
      <c r="BX2604" s="2" t="s">
        <v>3684</v>
      </c>
    </row>
    <row r="2605" spans="1:76" s="81" customFormat="1" ht="25.5" x14ac:dyDescent="0.25">
      <c r="A2605" s="66" t="s">
        <v>3703</v>
      </c>
      <c r="B2605" s="72" t="s">
        <v>55</v>
      </c>
      <c r="C2605" s="72" t="s">
        <v>3686</v>
      </c>
      <c r="D2605" s="174" t="s">
        <v>3687</v>
      </c>
      <c r="E2605" s="174"/>
      <c r="F2605" s="72" t="s">
        <v>3514</v>
      </c>
      <c r="G2605" s="90">
        <v>59</v>
      </c>
      <c r="H2605" s="91"/>
      <c r="I2605" s="92" t="s">
        <v>63</v>
      </c>
      <c r="J2605" s="90">
        <f t="shared" si="625"/>
        <v>0</v>
      </c>
      <c r="K2605" s="90">
        <f t="shared" si="626"/>
        <v>0</v>
      </c>
      <c r="L2605" s="90">
        <f t="shared" si="627"/>
        <v>0</v>
      </c>
      <c r="M2605" s="90">
        <f t="shared" si="628"/>
        <v>0</v>
      </c>
      <c r="N2605" s="90">
        <v>0</v>
      </c>
      <c r="O2605" s="90">
        <f t="shared" si="629"/>
        <v>0</v>
      </c>
      <c r="P2605" s="92" t="s">
        <v>1647</v>
      </c>
      <c r="Z2605" s="93">
        <f t="shared" si="630"/>
        <v>0</v>
      </c>
      <c r="AB2605" s="93">
        <f t="shared" si="631"/>
        <v>0</v>
      </c>
      <c r="AC2605" s="93">
        <f t="shared" si="632"/>
        <v>0</v>
      </c>
      <c r="AD2605" s="93">
        <f t="shared" si="633"/>
        <v>0</v>
      </c>
      <c r="AE2605" s="93">
        <f t="shared" si="634"/>
        <v>0</v>
      </c>
      <c r="AF2605" s="93">
        <f t="shared" si="635"/>
        <v>0</v>
      </c>
      <c r="AG2605" s="93">
        <f t="shared" si="636"/>
        <v>0</v>
      </c>
      <c r="AH2605" s="93">
        <f t="shared" si="637"/>
        <v>0</v>
      </c>
      <c r="AI2605" s="88" t="s">
        <v>55</v>
      </c>
      <c r="AJ2605" s="93">
        <f t="shared" si="638"/>
        <v>0</v>
      </c>
      <c r="AK2605" s="93">
        <f t="shared" si="639"/>
        <v>0</v>
      </c>
      <c r="AL2605" s="93">
        <f t="shared" si="640"/>
        <v>0</v>
      </c>
      <c r="AN2605" s="93">
        <v>21</v>
      </c>
      <c r="AO2605" s="93">
        <f t="shared" si="641"/>
        <v>0</v>
      </c>
      <c r="AP2605" s="93">
        <f t="shared" si="642"/>
        <v>0</v>
      </c>
      <c r="AQ2605" s="94" t="s">
        <v>118</v>
      </c>
      <c r="AV2605" s="93">
        <f t="shared" si="643"/>
        <v>0</v>
      </c>
      <c r="AW2605" s="93">
        <f t="shared" si="644"/>
        <v>0</v>
      </c>
      <c r="AX2605" s="93">
        <f t="shared" si="645"/>
        <v>0</v>
      </c>
      <c r="AY2605" s="94" t="s">
        <v>3494</v>
      </c>
      <c r="AZ2605" s="94" t="s">
        <v>3495</v>
      </c>
      <c r="BA2605" s="88" t="s">
        <v>67</v>
      </c>
      <c r="BC2605" s="93">
        <f t="shared" si="646"/>
        <v>0</v>
      </c>
      <c r="BD2605" s="93">
        <f t="shared" si="647"/>
        <v>0</v>
      </c>
      <c r="BE2605" s="93">
        <v>0</v>
      </c>
      <c r="BF2605" s="93">
        <f t="shared" si="648"/>
        <v>0</v>
      </c>
      <c r="BH2605" s="93">
        <f t="shared" si="649"/>
        <v>0</v>
      </c>
      <c r="BI2605" s="93">
        <f t="shared" si="650"/>
        <v>0</v>
      </c>
      <c r="BJ2605" s="93">
        <f t="shared" si="651"/>
        <v>0</v>
      </c>
      <c r="BK2605" s="93"/>
      <c r="BL2605" s="93"/>
      <c r="BW2605" s="93" t="str">
        <f t="shared" si="652"/>
        <v>21</v>
      </c>
      <c r="BX2605" s="2" t="s">
        <v>3687</v>
      </c>
    </row>
    <row r="2606" spans="1:76" s="81" customFormat="1" ht="25.5" x14ac:dyDescent="0.25">
      <c r="A2606" s="66" t="s">
        <v>3706</v>
      </c>
      <c r="B2606" s="72" t="s">
        <v>55</v>
      </c>
      <c r="C2606" s="72" t="s">
        <v>3689</v>
      </c>
      <c r="D2606" s="174" t="s">
        <v>3690</v>
      </c>
      <c r="E2606" s="174"/>
      <c r="F2606" s="72" t="s">
        <v>3514</v>
      </c>
      <c r="G2606" s="90">
        <v>12</v>
      </c>
      <c r="H2606" s="91"/>
      <c r="I2606" s="92" t="s">
        <v>63</v>
      </c>
      <c r="J2606" s="90">
        <f t="shared" si="625"/>
        <v>0</v>
      </c>
      <c r="K2606" s="90">
        <f t="shared" si="626"/>
        <v>0</v>
      </c>
      <c r="L2606" s="90">
        <f t="shared" si="627"/>
        <v>0</v>
      </c>
      <c r="M2606" s="90">
        <f t="shared" si="628"/>
        <v>0</v>
      </c>
      <c r="N2606" s="90">
        <v>0</v>
      </c>
      <c r="O2606" s="90">
        <f t="shared" si="629"/>
        <v>0</v>
      </c>
      <c r="P2606" s="92" t="s">
        <v>1647</v>
      </c>
      <c r="Z2606" s="93">
        <f t="shared" si="630"/>
        <v>0</v>
      </c>
      <c r="AB2606" s="93">
        <f t="shared" si="631"/>
        <v>0</v>
      </c>
      <c r="AC2606" s="93">
        <f t="shared" si="632"/>
        <v>0</v>
      </c>
      <c r="AD2606" s="93">
        <f t="shared" si="633"/>
        <v>0</v>
      </c>
      <c r="AE2606" s="93">
        <f t="shared" si="634"/>
        <v>0</v>
      </c>
      <c r="AF2606" s="93">
        <f t="shared" si="635"/>
        <v>0</v>
      </c>
      <c r="AG2606" s="93">
        <f t="shared" si="636"/>
        <v>0</v>
      </c>
      <c r="AH2606" s="93">
        <f t="shared" si="637"/>
        <v>0</v>
      </c>
      <c r="AI2606" s="88" t="s">
        <v>55</v>
      </c>
      <c r="AJ2606" s="93">
        <f t="shared" si="638"/>
        <v>0</v>
      </c>
      <c r="AK2606" s="93">
        <f t="shared" si="639"/>
        <v>0</v>
      </c>
      <c r="AL2606" s="93">
        <f t="shared" si="640"/>
        <v>0</v>
      </c>
      <c r="AN2606" s="93">
        <v>21</v>
      </c>
      <c r="AO2606" s="93">
        <f t="shared" si="641"/>
        <v>0</v>
      </c>
      <c r="AP2606" s="93">
        <f t="shared" si="642"/>
        <v>0</v>
      </c>
      <c r="AQ2606" s="94" t="s">
        <v>118</v>
      </c>
      <c r="AV2606" s="93">
        <f t="shared" si="643"/>
        <v>0</v>
      </c>
      <c r="AW2606" s="93">
        <f t="shared" si="644"/>
        <v>0</v>
      </c>
      <c r="AX2606" s="93">
        <f t="shared" si="645"/>
        <v>0</v>
      </c>
      <c r="AY2606" s="94" t="s">
        <v>3494</v>
      </c>
      <c r="AZ2606" s="94" t="s">
        <v>3495</v>
      </c>
      <c r="BA2606" s="88" t="s">
        <v>67</v>
      </c>
      <c r="BC2606" s="93">
        <f t="shared" si="646"/>
        <v>0</v>
      </c>
      <c r="BD2606" s="93">
        <f t="shared" si="647"/>
        <v>0</v>
      </c>
      <c r="BE2606" s="93">
        <v>0</v>
      </c>
      <c r="BF2606" s="93">
        <f t="shared" si="648"/>
        <v>0</v>
      </c>
      <c r="BH2606" s="93">
        <f t="shared" si="649"/>
        <v>0</v>
      </c>
      <c r="BI2606" s="93">
        <f t="shared" si="650"/>
        <v>0</v>
      </c>
      <c r="BJ2606" s="93">
        <f t="shared" si="651"/>
        <v>0</v>
      </c>
      <c r="BK2606" s="93"/>
      <c r="BL2606" s="93"/>
      <c r="BW2606" s="93" t="str">
        <f t="shared" si="652"/>
        <v>21</v>
      </c>
      <c r="BX2606" s="2" t="s">
        <v>3690</v>
      </c>
    </row>
    <row r="2607" spans="1:76" s="81" customFormat="1" ht="25.5" x14ac:dyDescent="0.25">
      <c r="A2607" s="66" t="s">
        <v>3709</v>
      </c>
      <c r="B2607" s="72" t="s">
        <v>55</v>
      </c>
      <c r="C2607" s="72" t="s">
        <v>3692</v>
      </c>
      <c r="D2607" s="174" t="s">
        <v>3693</v>
      </c>
      <c r="E2607" s="174"/>
      <c r="F2607" s="72" t="s">
        <v>3514</v>
      </c>
      <c r="G2607" s="90">
        <v>1</v>
      </c>
      <c r="H2607" s="91"/>
      <c r="I2607" s="92" t="s">
        <v>63</v>
      </c>
      <c r="J2607" s="90">
        <f t="shared" si="625"/>
        <v>0</v>
      </c>
      <c r="K2607" s="90">
        <f t="shared" si="626"/>
        <v>0</v>
      </c>
      <c r="L2607" s="90">
        <f t="shared" si="627"/>
        <v>0</v>
      </c>
      <c r="M2607" s="90">
        <f t="shared" si="628"/>
        <v>0</v>
      </c>
      <c r="N2607" s="90">
        <v>0</v>
      </c>
      <c r="O2607" s="90">
        <f t="shared" si="629"/>
        <v>0</v>
      </c>
      <c r="P2607" s="92" t="s">
        <v>1647</v>
      </c>
      <c r="Z2607" s="93">
        <f t="shared" si="630"/>
        <v>0</v>
      </c>
      <c r="AB2607" s="93">
        <f t="shared" si="631"/>
        <v>0</v>
      </c>
      <c r="AC2607" s="93">
        <f t="shared" si="632"/>
        <v>0</v>
      </c>
      <c r="AD2607" s="93">
        <f t="shared" si="633"/>
        <v>0</v>
      </c>
      <c r="AE2607" s="93">
        <f t="shared" si="634"/>
        <v>0</v>
      </c>
      <c r="AF2607" s="93">
        <f t="shared" si="635"/>
        <v>0</v>
      </c>
      <c r="AG2607" s="93">
        <f t="shared" si="636"/>
        <v>0</v>
      </c>
      <c r="AH2607" s="93">
        <f t="shared" si="637"/>
        <v>0</v>
      </c>
      <c r="AI2607" s="88" t="s">
        <v>55</v>
      </c>
      <c r="AJ2607" s="93">
        <f t="shared" si="638"/>
        <v>0</v>
      </c>
      <c r="AK2607" s="93">
        <f t="shared" si="639"/>
        <v>0</v>
      </c>
      <c r="AL2607" s="93">
        <f t="shared" si="640"/>
        <v>0</v>
      </c>
      <c r="AN2607" s="93">
        <v>21</v>
      </c>
      <c r="AO2607" s="93">
        <f t="shared" si="641"/>
        <v>0</v>
      </c>
      <c r="AP2607" s="93">
        <f t="shared" si="642"/>
        <v>0</v>
      </c>
      <c r="AQ2607" s="94" t="s">
        <v>118</v>
      </c>
      <c r="AV2607" s="93">
        <f t="shared" si="643"/>
        <v>0</v>
      </c>
      <c r="AW2607" s="93">
        <f t="shared" si="644"/>
        <v>0</v>
      </c>
      <c r="AX2607" s="93">
        <f t="shared" si="645"/>
        <v>0</v>
      </c>
      <c r="AY2607" s="94" t="s">
        <v>3494</v>
      </c>
      <c r="AZ2607" s="94" t="s">
        <v>3495</v>
      </c>
      <c r="BA2607" s="88" t="s">
        <v>67</v>
      </c>
      <c r="BC2607" s="93">
        <f t="shared" si="646"/>
        <v>0</v>
      </c>
      <c r="BD2607" s="93">
        <f t="shared" si="647"/>
        <v>0</v>
      </c>
      <c r="BE2607" s="93">
        <v>0</v>
      </c>
      <c r="BF2607" s="93">
        <f t="shared" si="648"/>
        <v>0</v>
      </c>
      <c r="BH2607" s="93">
        <f t="shared" si="649"/>
        <v>0</v>
      </c>
      <c r="BI2607" s="93">
        <f t="shared" si="650"/>
        <v>0</v>
      </c>
      <c r="BJ2607" s="93">
        <f t="shared" si="651"/>
        <v>0</v>
      </c>
      <c r="BK2607" s="93"/>
      <c r="BL2607" s="93"/>
      <c r="BW2607" s="93" t="str">
        <f t="shared" si="652"/>
        <v>21</v>
      </c>
      <c r="BX2607" s="2" t="s">
        <v>3693</v>
      </c>
    </row>
    <row r="2608" spans="1:76" s="81" customFormat="1" ht="25.5" x14ac:dyDescent="0.25">
      <c r="A2608" s="66" t="s">
        <v>3712</v>
      </c>
      <c r="B2608" s="72" t="s">
        <v>55</v>
      </c>
      <c r="C2608" s="72" t="s">
        <v>3695</v>
      </c>
      <c r="D2608" s="174" t="s">
        <v>3696</v>
      </c>
      <c r="E2608" s="174"/>
      <c r="F2608" s="72" t="s">
        <v>3514</v>
      </c>
      <c r="G2608" s="90">
        <v>15</v>
      </c>
      <c r="H2608" s="91"/>
      <c r="I2608" s="92" t="s">
        <v>63</v>
      </c>
      <c r="J2608" s="90">
        <f t="shared" si="625"/>
        <v>0</v>
      </c>
      <c r="K2608" s="90">
        <f t="shared" si="626"/>
        <v>0</v>
      </c>
      <c r="L2608" s="90">
        <f t="shared" si="627"/>
        <v>0</v>
      </c>
      <c r="M2608" s="90">
        <f t="shared" si="628"/>
        <v>0</v>
      </c>
      <c r="N2608" s="90">
        <v>0</v>
      </c>
      <c r="O2608" s="90">
        <f t="shared" si="629"/>
        <v>0</v>
      </c>
      <c r="P2608" s="92" t="s">
        <v>1647</v>
      </c>
      <c r="Z2608" s="93">
        <f t="shared" si="630"/>
        <v>0</v>
      </c>
      <c r="AB2608" s="93">
        <f t="shared" si="631"/>
        <v>0</v>
      </c>
      <c r="AC2608" s="93">
        <f t="shared" si="632"/>
        <v>0</v>
      </c>
      <c r="AD2608" s="93">
        <f t="shared" si="633"/>
        <v>0</v>
      </c>
      <c r="AE2608" s="93">
        <f t="shared" si="634"/>
        <v>0</v>
      </c>
      <c r="AF2608" s="93">
        <f t="shared" si="635"/>
        <v>0</v>
      </c>
      <c r="AG2608" s="93">
        <f t="shared" si="636"/>
        <v>0</v>
      </c>
      <c r="AH2608" s="93">
        <f t="shared" si="637"/>
        <v>0</v>
      </c>
      <c r="AI2608" s="88" t="s">
        <v>55</v>
      </c>
      <c r="AJ2608" s="93">
        <f t="shared" si="638"/>
        <v>0</v>
      </c>
      <c r="AK2608" s="93">
        <f t="shared" si="639"/>
        <v>0</v>
      </c>
      <c r="AL2608" s="93">
        <f t="shared" si="640"/>
        <v>0</v>
      </c>
      <c r="AN2608" s="93">
        <v>21</v>
      </c>
      <c r="AO2608" s="93">
        <f t="shared" si="641"/>
        <v>0</v>
      </c>
      <c r="AP2608" s="93">
        <f t="shared" si="642"/>
        <v>0</v>
      </c>
      <c r="AQ2608" s="94" t="s">
        <v>118</v>
      </c>
      <c r="AV2608" s="93">
        <f t="shared" si="643"/>
        <v>0</v>
      </c>
      <c r="AW2608" s="93">
        <f t="shared" si="644"/>
        <v>0</v>
      </c>
      <c r="AX2608" s="93">
        <f t="shared" si="645"/>
        <v>0</v>
      </c>
      <c r="AY2608" s="94" t="s">
        <v>3494</v>
      </c>
      <c r="AZ2608" s="94" t="s">
        <v>3495</v>
      </c>
      <c r="BA2608" s="88" t="s">
        <v>67</v>
      </c>
      <c r="BC2608" s="93">
        <f t="shared" si="646"/>
        <v>0</v>
      </c>
      <c r="BD2608" s="93">
        <f t="shared" si="647"/>
        <v>0</v>
      </c>
      <c r="BE2608" s="93">
        <v>0</v>
      </c>
      <c r="BF2608" s="93">
        <f t="shared" si="648"/>
        <v>0</v>
      </c>
      <c r="BH2608" s="93">
        <f t="shared" si="649"/>
        <v>0</v>
      </c>
      <c r="BI2608" s="93">
        <f t="shared" si="650"/>
        <v>0</v>
      </c>
      <c r="BJ2608" s="93">
        <f t="shared" si="651"/>
        <v>0</v>
      </c>
      <c r="BK2608" s="93"/>
      <c r="BL2608" s="93"/>
      <c r="BW2608" s="93" t="str">
        <f t="shared" si="652"/>
        <v>21</v>
      </c>
      <c r="BX2608" s="2" t="s">
        <v>3696</v>
      </c>
    </row>
    <row r="2609" spans="1:76" s="81" customFormat="1" ht="25.5" x14ac:dyDescent="0.25">
      <c r="A2609" s="66" t="s">
        <v>3715</v>
      </c>
      <c r="B2609" s="72" t="s">
        <v>55</v>
      </c>
      <c r="C2609" s="72" t="s">
        <v>3698</v>
      </c>
      <c r="D2609" s="174" t="s">
        <v>3699</v>
      </c>
      <c r="E2609" s="174"/>
      <c r="F2609" s="72" t="s">
        <v>3514</v>
      </c>
      <c r="G2609" s="90">
        <v>2</v>
      </c>
      <c r="H2609" s="91"/>
      <c r="I2609" s="92" t="s">
        <v>63</v>
      </c>
      <c r="J2609" s="90">
        <f t="shared" si="625"/>
        <v>0</v>
      </c>
      <c r="K2609" s="90">
        <f t="shared" si="626"/>
        <v>0</v>
      </c>
      <c r="L2609" s="90">
        <f t="shared" si="627"/>
        <v>0</v>
      </c>
      <c r="M2609" s="90">
        <f t="shared" si="628"/>
        <v>0</v>
      </c>
      <c r="N2609" s="90">
        <v>0</v>
      </c>
      <c r="O2609" s="90">
        <f t="shared" si="629"/>
        <v>0</v>
      </c>
      <c r="P2609" s="92" t="s">
        <v>1647</v>
      </c>
      <c r="Z2609" s="93">
        <f t="shared" si="630"/>
        <v>0</v>
      </c>
      <c r="AB2609" s="93">
        <f t="shared" si="631"/>
        <v>0</v>
      </c>
      <c r="AC2609" s="93">
        <f t="shared" si="632"/>
        <v>0</v>
      </c>
      <c r="AD2609" s="93">
        <f t="shared" si="633"/>
        <v>0</v>
      </c>
      <c r="AE2609" s="93">
        <f t="shared" si="634"/>
        <v>0</v>
      </c>
      <c r="AF2609" s="93">
        <f t="shared" si="635"/>
        <v>0</v>
      </c>
      <c r="AG2609" s="93">
        <f t="shared" si="636"/>
        <v>0</v>
      </c>
      <c r="AH2609" s="93">
        <f t="shared" si="637"/>
        <v>0</v>
      </c>
      <c r="AI2609" s="88" t="s">
        <v>55</v>
      </c>
      <c r="AJ2609" s="93">
        <f t="shared" si="638"/>
        <v>0</v>
      </c>
      <c r="AK2609" s="93">
        <f t="shared" si="639"/>
        <v>0</v>
      </c>
      <c r="AL2609" s="93">
        <f t="shared" si="640"/>
        <v>0</v>
      </c>
      <c r="AN2609" s="93">
        <v>21</v>
      </c>
      <c r="AO2609" s="93">
        <f t="shared" si="641"/>
        <v>0</v>
      </c>
      <c r="AP2609" s="93">
        <f t="shared" si="642"/>
        <v>0</v>
      </c>
      <c r="AQ2609" s="94" t="s">
        <v>118</v>
      </c>
      <c r="AV2609" s="93">
        <f t="shared" si="643"/>
        <v>0</v>
      </c>
      <c r="AW2609" s="93">
        <f t="shared" si="644"/>
        <v>0</v>
      </c>
      <c r="AX2609" s="93">
        <f t="shared" si="645"/>
        <v>0</v>
      </c>
      <c r="AY2609" s="94" t="s">
        <v>3494</v>
      </c>
      <c r="AZ2609" s="94" t="s">
        <v>3495</v>
      </c>
      <c r="BA2609" s="88" t="s">
        <v>67</v>
      </c>
      <c r="BC2609" s="93">
        <f t="shared" si="646"/>
        <v>0</v>
      </c>
      <c r="BD2609" s="93">
        <f t="shared" si="647"/>
        <v>0</v>
      </c>
      <c r="BE2609" s="93">
        <v>0</v>
      </c>
      <c r="BF2609" s="93">
        <f t="shared" si="648"/>
        <v>0</v>
      </c>
      <c r="BH2609" s="93">
        <f t="shared" si="649"/>
        <v>0</v>
      </c>
      <c r="BI2609" s="93">
        <f t="shared" si="650"/>
        <v>0</v>
      </c>
      <c r="BJ2609" s="93">
        <f t="shared" si="651"/>
        <v>0</v>
      </c>
      <c r="BK2609" s="93"/>
      <c r="BL2609" s="93"/>
      <c r="BW2609" s="93" t="str">
        <f t="shared" si="652"/>
        <v>21</v>
      </c>
      <c r="BX2609" s="2" t="s">
        <v>3699</v>
      </c>
    </row>
    <row r="2610" spans="1:76" s="81" customFormat="1" ht="25.5" x14ac:dyDescent="0.25">
      <c r="A2610" s="66" t="s">
        <v>3718</v>
      </c>
      <c r="B2610" s="72" t="s">
        <v>55</v>
      </c>
      <c r="C2610" s="72" t="s">
        <v>3701</v>
      </c>
      <c r="D2610" s="174" t="s">
        <v>3702</v>
      </c>
      <c r="E2610" s="174"/>
      <c r="F2610" s="72" t="s">
        <v>3514</v>
      </c>
      <c r="G2610" s="90">
        <v>13</v>
      </c>
      <c r="H2610" s="91"/>
      <c r="I2610" s="92" t="s">
        <v>63</v>
      </c>
      <c r="J2610" s="90">
        <f t="shared" si="625"/>
        <v>0</v>
      </c>
      <c r="K2610" s="90">
        <f t="shared" si="626"/>
        <v>0</v>
      </c>
      <c r="L2610" s="90">
        <f t="shared" si="627"/>
        <v>0</v>
      </c>
      <c r="M2610" s="90">
        <f t="shared" si="628"/>
        <v>0</v>
      </c>
      <c r="N2610" s="90">
        <v>0</v>
      </c>
      <c r="O2610" s="90">
        <f t="shared" si="629"/>
        <v>0</v>
      </c>
      <c r="P2610" s="92" t="s">
        <v>1647</v>
      </c>
      <c r="Z2610" s="93">
        <f t="shared" si="630"/>
        <v>0</v>
      </c>
      <c r="AB2610" s="93">
        <f t="shared" si="631"/>
        <v>0</v>
      </c>
      <c r="AC2610" s="93">
        <f t="shared" si="632"/>
        <v>0</v>
      </c>
      <c r="AD2610" s="93">
        <f t="shared" si="633"/>
        <v>0</v>
      </c>
      <c r="AE2610" s="93">
        <f t="shared" si="634"/>
        <v>0</v>
      </c>
      <c r="AF2610" s="93">
        <f t="shared" si="635"/>
        <v>0</v>
      </c>
      <c r="AG2610" s="93">
        <f t="shared" si="636"/>
        <v>0</v>
      </c>
      <c r="AH2610" s="93">
        <f t="shared" si="637"/>
        <v>0</v>
      </c>
      <c r="AI2610" s="88" t="s">
        <v>55</v>
      </c>
      <c r="AJ2610" s="93">
        <f t="shared" si="638"/>
        <v>0</v>
      </c>
      <c r="AK2610" s="93">
        <f t="shared" si="639"/>
        <v>0</v>
      </c>
      <c r="AL2610" s="93">
        <f t="shared" si="640"/>
        <v>0</v>
      </c>
      <c r="AN2610" s="93">
        <v>21</v>
      </c>
      <c r="AO2610" s="93">
        <f t="shared" si="641"/>
        <v>0</v>
      </c>
      <c r="AP2610" s="93">
        <f t="shared" si="642"/>
        <v>0</v>
      </c>
      <c r="AQ2610" s="94" t="s">
        <v>118</v>
      </c>
      <c r="AV2610" s="93">
        <f t="shared" si="643"/>
        <v>0</v>
      </c>
      <c r="AW2610" s="93">
        <f t="shared" si="644"/>
        <v>0</v>
      </c>
      <c r="AX2610" s="93">
        <f t="shared" si="645"/>
        <v>0</v>
      </c>
      <c r="AY2610" s="94" t="s">
        <v>3494</v>
      </c>
      <c r="AZ2610" s="94" t="s">
        <v>3495</v>
      </c>
      <c r="BA2610" s="88" t="s">
        <v>67</v>
      </c>
      <c r="BC2610" s="93">
        <f t="shared" si="646"/>
        <v>0</v>
      </c>
      <c r="BD2610" s="93">
        <f t="shared" si="647"/>
        <v>0</v>
      </c>
      <c r="BE2610" s="93">
        <v>0</v>
      </c>
      <c r="BF2610" s="93">
        <f t="shared" si="648"/>
        <v>0</v>
      </c>
      <c r="BH2610" s="93">
        <f t="shared" si="649"/>
        <v>0</v>
      </c>
      <c r="BI2610" s="93">
        <f t="shared" si="650"/>
        <v>0</v>
      </c>
      <c r="BJ2610" s="93">
        <f t="shared" si="651"/>
        <v>0</v>
      </c>
      <c r="BK2610" s="93"/>
      <c r="BL2610" s="93"/>
      <c r="BW2610" s="93" t="str">
        <f t="shared" si="652"/>
        <v>21</v>
      </c>
      <c r="BX2610" s="2" t="s">
        <v>3702</v>
      </c>
    </row>
    <row r="2611" spans="1:76" s="81" customFormat="1" ht="25.5" x14ac:dyDescent="0.25">
      <c r="A2611" s="66" t="s">
        <v>3721</v>
      </c>
      <c r="B2611" s="72" t="s">
        <v>55</v>
      </c>
      <c r="C2611" s="72" t="s">
        <v>3704</v>
      </c>
      <c r="D2611" s="174" t="s">
        <v>3705</v>
      </c>
      <c r="E2611" s="174"/>
      <c r="F2611" s="72" t="s">
        <v>3514</v>
      </c>
      <c r="G2611" s="90">
        <v>6</v>
      </c>
      <c r="H2611" s="91"/>
      <c r="I2611" s="92" t="s">
        <v>63</v>
      </c>
      <c r="J2611" s="90">
        <f t="shared" si="625"/>
        <v>0</v>
      </c>
      <c r="K2611" s="90">
        <f t="shared" si="626"/>
        <v>0</v>
      </c>
      <c r="L2611" s="90">
        <f t="shared" si="627"/>
        <v>0</v>
      </c>
      <c r="M2611" s="90">
        <f t="shared" si="628"/>
        <v>0</v>
      </c>
      <c r="N2611" s="90">
        <v>0</v>
      </c>
      <c r="O2611" s="90">
        <f t="shared" si="629"/>
        <v>0</v>
      </c>
      <c r="P2611" s="92" t="s">
        <v>1647</v>
      </c>
      <c r="Z2611" s="93">
        <f t="shared" si="630"/>
        <v>0</v>
      </c>
      <c r="AB2611" s="93">
        <f t="shared" si="631"/>
        <v>0</v>
      </c>
      <c r="AC2611" s="93">
        <f t="shared" si="632"/>
        <v>0</v>
      </c>
      <c r="AD2611" s="93">
        <f t="shared" si="633"/>
        <v>0</v>
      </c>
      <c r="AE2611" s="93">
        <f t="shared" si="634"/>
        <v>0</v>
      </c>
      <c r="AF2611" s="93">
        <f t="shared" si="635"/>
        <v>0</v>
      </c>
      <c r="AG2611" s="93">
        <f t="shared" si="636"/>
        <v>0</v>
      </c>
      <c r="AH2611" s="93">
        <f t="shared" si="637"/>
        <v>0</v>
      </c>
      <c r="AI2611" s="88" t="s">
        <v>55</v>
      </c>
      <c r="AJ2611" s="93">
        <f t="shared" si="638"/>
        <v>0</v>
      </c>
      <c r="AK2611" s="93">
        <f t="shared" si="639"/>
        <v>0</v>
      </c>
      <c r="AL2611" s="93">
        <f t="shared" si="640"/>
        <v>0</v>
      </c>
      <c r="AN2611" s="93">
        <v>21</v>
      </c>
      <c r="AO2611" s="93">
        <f t="shared" si="641"/>
        <v>0</v>
      </c>
      <c r="AP2611" s="93">
        <f t="shared" si="642"/>
        <v>0</v>
      </c>
      <c r="AQ2611" s="94" t="s">
        <v>118</v>
      </c>
      <c r="AV2611" s="93">
        <f t="shared" si="643"/>
        <v>0</v>
      </c>
      <c r="AW2611" s="93">
        <f t="shared" si="644"/>
        <v>0</v>
      </c>
      <c r="AX2611" s="93">
        <f t="shared" si="645"/>
        <v>0</v>
      </c>
      <c r="AY2611" s="94" t="s">
        <v>3494</v>
      </c>
      <c r="AZ2611" s="94" t="s">
        <v>3495</v>
      </c>
      <c r="BA2611" s="88" t="s">
        <v>67</v>
      </c>
      <c r="BC2611" s="93">
        <f t="shared" si="646"/>
        <v>0</v>
      </c>
      <c r="BD2611" s="93">
        <f t="shared" si="647"/>
        <v>0</v>
      </c>
      <c r="BE2611" s="93">
        <v>0</v>
      </c>
      <c r="BF2611" s="93">
        <f t="shared" si="648"/>
        <v>0</v>
      </c>
      <c r="BH2611" s="93">
        <f t="shared" si="649"/>
        <v>0</v>
      </c>
      <c r="BI2611" s="93">
        <f t="shared" si="650"/>
        <v>0</v>
      </c>
      <c r="BJ2611" s="93">
        <f t="shared" si="651"/>
        <v>0</v>
      </c>
      <c r="BK2611" s="93"/>
      <c r="BL2611" s="93"/>
      <c r="BW2611" s="93" t="str">
        <f t="shared" si="652"/>
        <v>21</v>
      </c>
      <c r="BX2611" s="2" t="s">
        <v>3705</v>
      </c>
    </row>
    <row r="2612" spans="1:76" s="81" customFormat="1" ht="25.5" x14ac:dyDescent="0.25">
      <c r="A2612" s="66" t="s">
        <v>3724</v>
      </c>
      <c r="B2612" s="72" t="s">
        <v>55</v>
      </c>
      <c r="C2612" s="72" t="s">
        <v>3707</v>
      </c>
      <c r="D2612" s="174" t="s">
        <v>3708</v>
      </c>
      <c r="E2612" s="174"/>
      <c r="F2612" s="72" t="s">
        <v>3514</v>
      </c>
      <c r="G2612" s="90">
        <v>33</v>
      </c>
      <c r="H2612" s="91"/>
      <c r="I2612" s="92" t="s">
        <v>63</v>
      </c>
      <c r="J2612" s="90">
        <f t="shared" si="625"/>
        <v>0</v>
      </c>
      <c r="K2612" s="90">
        <f t="shared" si="626"/>
        <v>0</v>
      </c>
      <c r="L2612" s="90">
        <f t="shared" si="627"/>
        <v>0</v>
      </c>
      <c r="M2612" s="90">
        <f t="shared" si="628"/>
        <v>0</v>
      </c>
      <c r="N2612" s="90">
        <v>0</v>
      </c>
      <c r="O2612" s="90">
        <f t="shared" si="629"/>
        <v>0</v>
      </c>
      <c r="P2612" s="92" t="s">
        <v>1647</v>
      </c>
      <c r="Z2612" s="93">
        <f t="shared" si="630"/>
        <v>0</v>
      </c>
      <c r="AB2612" s="93">
        <f t="shared" si="631"/>
        <v>0</v>
      </c>
      <c r="AC2612" s="93">
        <f t="shared" si="632"/>
        <v>0</v>
      </c>
      <c r="AD2612" s="93">
        <f t="shared" si="633"/>
        <v>0</v>
      </c>
      <c r="AE2612" s="93">
        <f t="shared" si="634"/>
        <v>0</v>
      </c>
      <c r="AF2612" s="93">
        <f t="shared" si="635"/>
        <v>0</v>
      </c>
      <c r="AG2612" s="93">
        <f t="shared" si="636"/>
        <v>0</v>
      </c>
      <c r="AH2612" s="93">
        <f t="shared" si="637"/>
        <v>0</v>
      </c>
      <c r="AI2612" s="88" t="s">
        <v>55</v>
      </c>
      <c r="AJ2612" s="93">
        <f t="shared" si="638"/>
        <v>0</v>
      </c>
      <c r="AK2612" s="93">
        <f t="shared" si="639"/>
        <v>0</v>
      </c>
      <c r="AL2612" s="93">
        <f t="shared" si="640"/>
        <v>0</v>
      </c>
      <c r="AN2612" s="93">
        <v>21</v>
      </c>
      <c r="AO2612" s="93">
        <f t="shared" si="641"/>
        <v>0</v>
      </c>
      <c r="AP2612" s="93">
        <f t="shared" si="642"/>
        <v>0</v>
      </c>
      <c r="AQ2612" s="94" t="s">
        <v>118</v>
      </c>
      <c r="AV2612" s="93">
        <f t="shared" si="643"/>
        <v>0</v>
      </c>
      <c r="AW2612" s="93">
        <f t="shared" si="644"/>
        <v>0</v>
      </c>
      <c r="AX2612" s="93">
        <f t="shared" si="645"/>
        <v>0</v>
      </c>
      <c r="AY2612" s="94" t="s">
        <v>3494</v>
      </c>
      <c r="AZ2612" s="94" t="s">
        <v>3495</v>
      </c>
      <c r="BA2612" s="88" t="s">
        <v>67</v>
      </c>
      <c r="BC2612" s="93">
        <f t="shared" si="646"/>
        <v>0</v>
      </c>
      <c r="BD2612" s="93">
        <f t="shared" si="647"/>
        <v>0</v>
      </c>
      <c r="BE2612" s="93">
        <v>0</v>
      </c>
      <c r="BF2612" s="93">
        <f t="shared" si="648"/>
        <v>0</v>
      </c>
      <c r="BH2612" s="93">
        <f t="shared" si="649"/>
        <v>0</v>
      </c>
      <c r="BI2612" s="93">
        <f t="shared" si="650"/>
        <v>0</v>
      </c>
      <c r="BJ2612" s="93">
        <f t="shared" si="651"/>
        <v>0</v>
      </c>
      <c r="BK2612" s="93"/>
      <c r="BL2612" s="93"/>
      <c r="BW2612" s="93" t="str">
        <f t="shared" si="652"/>
        <v>21</v>
      </c>
      <c r="BX2612" s="2" t="s">
        <v>3708</v>
      </c>
    </row>
    <row r="2613" spans="1:76" s="81" customFormat="1" ht="25.5" x14ac:dyDescent="0.25">
      <c r="A2613" s="66" t="s">
        <v>3727</v>
      </c>
      <c r="B2613" s="72" t="s">
        <v>55</v>
      </c>
      <c r="C2613" s="72" t="s">
        <v>3710</v>
      </c>
      <c r="D2613" s="174" t="s">
        <v>3711</v>
      </c>
      <c r="E2613" s="174"/>
      <c r="F2613" s="72" t="s">
        <v>3514</v>
      </c>
      <c r="G2613" s="90">
        <v>3</v>
      </c>
      <c r="H2613" s="91"/>
      <c r="I2613" s="92" t="s">
        <v>63</v>
      </c>
      <c r="J2613" s="90">
        <f t="shared" si="625"/>
        <v>0</v>
      </c>
      <c r="K2613" s="90">
        <f t="shared" si="626"/>
        <v>0</v>
      </c>
      <c r="L2613" s="90">
        <f t="shared" si="627"/>
        <v>0</v>
      </c>
      <c r="M2613" s="90">
        <f t="shared" si="628"/>
        <v>0</v>
      </c>
      <c r="N2613" s="90">
        <v>0</v>
      </c>
      <c r="O2613" s="90">
        <f t="shared" si="629"/>
        <v>0</v>
      </c>
      <c r="P2613" s="92" t="s">
        <v>1647</v>
      </c>
      <c r="Z2613" s="93">
        <f t="shared" si="630"/>
        <v>0</v>
      </c>
      <c r="AB2613" s="93">
        <f t="shared" si="631"/>
        <v>0</v>
      </c>
      <c r="AC2613" s="93">
        <f t="shared" si="632"/>
        <v>0</v>
      </c>
      <c r="AD2613" s="93">
        <f t="shared" si="633"/>
        <v>0</v>
      </c>
      <c r="AE2613" s="93">
        <f t="shared" si="634"/>
        <v>0</v>
      </c>
      <c r="AF2613" s="93">
        <f t="shared" si="635"/>
        <v>0</v>
      </c>
      <c r="AG2613" s="93">
        <f t="shared" si="636"/>
        <v>0</v>
      </c>
      <c r="AH2613" s="93">
        <f t="shared" si="637"/>
        <v>0</v>
      </c>
      <c r="AI2613" s="88" t="s">
        <v>55</v>
      </c>
      <c r="AJ2613" s="93">
        <f t="shared" si="638"/>
        <v>0</v>
      </c>
      <c r="AK2613" s="93">
        <f t="shared" si="639"/>
        <v>0</v>
      </c>
      <c r="AL2613" s="93">
        <f t="shared" si="640"/>
        <v>0</v>
      </c>
      <c r="AN2613" s="93">
        <v>21</v>
      </c>
      <c r="AO2613" s="93">
        <f t="shared" si="641"/>
        <v>0</v>
      </c>
      <c r="AP2613" s="93">
        <f t="shared" si="642"/>
        <v>0</v>
      </c>
      <c r="AQ2613" s="94" t="s">
        <v>118</v>
      </c>
      <c r="AV2613" s="93">
        <f t="shared" si="643"/>
        <v>0</v>
      </c>
      <c r="AW2613" s="93">
        <f t="shared" si="644"/>
        <v>0</v>
      </c>
      <c r="AX2613" s="93">
        <f t="shared" si="645"/>
        <v>0</v>
      </c>
      <c r="AY2613" s="94" t="s">
        <v>3494</v>
      </c>
      <c r="AZ2613" s="94" t="s">
        <v>3495</v>
      </c>
      <c r="BA2613" s="88" t="s">
        <v>67</v>
      </c>
      <c r="BC2613" s="93">
        <f t="shared" si="646"/>
        <v>0</v>
      </c>
      <c r="BD2613" s="93">
        <f t="shared" si="647"/>
        <v>0</v>
      </c>
      <c r="BE2613" s="93">
        <v>0</v>
      </c>
      <c r="BF2613" s="93">
        <f t="shared" si="648"/>
        <v>0</v>
      </c>
      <c r="BH2613" s="93">
        <f t="shared" si="649"/>
        <v>0</v>
      </c>
      <c r="BI2613" s="93">
        <f t="shared" si="650"/>
        <v>0</v>
      </c>
      <c r="BJ2613" s="93">
        <f t="shared" si="651"/>
        <v>0</v>
      </c>
      <c r="BK2613" s="93"/>
      <c r="BL2613" s="93"/>
      <c r="BW2613" s="93" t="str">
        <f t="shared" si="652"/>
        <v>21</v>
      </c>
      <c r="BX2613" s="2" t="s">
        <v>3711</v>
      </c>
    </row>
    <row r="2614" spans="1:76" s="81" customFormat="1" ht="25.5" x14ac:dyDescent="0.25">
      <c r="A2614" s="66" t="s">
        <v>3730</v>
      </c>
      <c r="B2614" s="72" t="s">
        <v>55</v>
      </c>
      <c r="C2614" s="72" t="s">
        <v>3713</v>
      </c>
      <c r="D2614" s="174" t="s">
        <v>3714</v>
      </c>
      <c r="E2614" s="174"/>
      <c r="F2614" s="72" t="s">
        <v>3514</v>
      </c>
      <c r="G2614" s="90">
        <v>10</v>
      </c>
      <c r="H2614" s="91"/>
      <c r="I2614" s="92" t="s">
        <v>63</v>
      </c>
      <c r="J2614" s="90">
        <f t="shared" si="625"/>
        <v>0</v>
      </c>
      <c r="K2614" s="90">
        <f t="shared" si="626"/>
        <v>0</v>
      </c>
      <c r="L2614" s="90">
        <f t="shared" si="627"/>
        <v>0</v>
      </c>
      <c r="M2614" s="90">
        <f t="shared" si="628"/>
        <v>0</v>
      </c>
      <c r="N2614" s="90">
        <v>0</v>
      </c>
      <c r="O2614" s="90">
        <f t="shared" si="629"/>
        <v>0</v>
      </c>
      <c r="P2614" s="92" t="s">
        <v>1647</v>
      </c>
      <c r="Z2614" s="93">
        <f t="shared" si="630"/>
        <v>0</v>
      </c>
      <c r="AB2614" s="93">
        <f t="shared" si="631"/>
        <v>0</v>
      </c>
      <c r="AC2614" s="93">
        <f t="shared" si="632"/>
        <v>0</v>
      </c>
      <c r="AD2614" s="93">
        <f t="shared" si="633"/>
        <v>0</v>
      </c>
      <c r="AE2614" s="93">
        <f t="shared" si="634"/>
        <v>0</v>
      </c>
      <c r="AF2614" s="93">
        <f t="shared" si="635"/>
        <v>0</v>
      </c>
      <c r="AG2614" s="93">
        <f t="shared" si="636"/>
        <v>0</v>
      </c>
      <c r="AH2614" s="93">
        <f t="shared" si="637"/>
        <v>0</v>
      </c>
      <c r="AI2614" s="88" t="s">
        <v>55</v>
      </c>
      <c r="AJ2614" s="93">
        <f t="shared" si="638"/>
        <v>0</v>
      </c>
      <c r="AK2614" s="93">
        <f t="shared" si="639"/>
        <v>0</v>
      </c>
      <c r="AL2614" s="93">
        <f t="shared" si="640"/>
        <v>0</v>
      </c>
      <c r="AN2614" s="93">
        <v>21</v>
      </c>
      <c r="AO2614" s="93">
        <f t="shared" si="641"/>
        <v>0</v>
      </c>
      <c r="AP2614" s="93">
        <f t="shared" si="642"/>
        <v>0</v>
      </c>
      <c r="AQ2614" s="94" t="s">
        <v>118</v>
      </c>
      <c r="AV2614" s="93">
        <f t="shared" si="643"/>
        <v>0</v>
      </c>
      <c r="AW2614" s="93">
        <f t="shared" si="644"/>
        <v>0</v>
      </c>
      <c r="AX2614" s="93">
        <f t="shared" si="645"/>
        <v>0</v>
      </c>
      <c r="AY2614" s="94" t="s">
        <v>3494</v>
      </c>
      <c r="AZ2614" s="94" t="s">
        <v>3495</v>
      </c>
      <c r="BA2614" s="88" t="s">
        <v>67</v>
      </c>
      <c r="BC2614" s="93">
        <f t="shared" si="646"/>
        <v>0</v>
      </c>
      <c r="BD2614" s="93">
        <f t="shared" si="647"/>
        <v>0</v>
      </c>
      <c r="BE2614" s="93">
        <v>0</v>
      </c>
      <c r="BF2614" s="93">
        <f t="shared" si="648"/>
        <v>0</v>
      </c>
      <c r="BH2614" s="93">
        <f t="shared" si="649"/>
        <v>0</v>
      </c>
      <c r="BI2614" s="93">
        <f t="shared" si="650"/>
        <v>0</v>
      </c>
      <c r="BJ2614" s="93">
        <f t="shared" si="651"/>
        <v>0</v>
      </c>
      <c r="BK2614" s="93"/>
      <c r="BL2614" s="93"/>
      <c r="BW2614" s="93" t="str">
        <f t="shared" si="652"/>
        <v>21</v>
      </c>
      <c r="BX2614" s="2" t="s">
        <v>3714</v>
      </c>
    </row>
    <row r="2615" spans="1:76" s="81" customFormat="1" ht="25.5" x14ac:dyDescent="0.25">
      <c r="A2615" s="66" t="s">
        <v>3733</v>
      </c>
      <c r="B2615" s="72" t="s">
        <v>55</v>
      </c>
      <c r="C2615" s="72" t="s">
        <v>3716</v>
      </c>
      <c r="D2615" s="174" t="s">
        <v>3717</v>
      </c>
      <c r="E2615" s="174"/>
      <c r="F2615" s="72" t="s">
        <v>3514</v>
      </c>
      <c r="G2615" s="90">
        <v>13</v>
      </c>
      <c r="H2615" s="91"/>
      <c r="I2615" s="92" t="s">
        <v>63</v>
      </c>
      <c r="J2615" s="90">
        <f t="shared" si="625"/>
        <v>0</v>
      </c>
      <c r="K2615" s="90">
        <f t="shared" si="626"/>
        <v>0</v>
      </c>
      <c r="L2615" s="90">
        <f t="shared" si="627"/>
        <v>0</v>
      </c>
      <c r="M2615" s="90">
        <f t="shared" si="628"/>
        <v>0</v>
      </c>
      <c r="N2615" s="90">
        <v>0</v>
      </c>
      <c r="O2615" s="90">
        <f t="shared" si="629"/>
        <v>0</v>
      </c>
      <c r="P2615" s="92" t="s">
        <v>1647</v>
      </c>
      <c r="Z2615" s="93">
        <f t="shared" si="630"/>
        <v>0</v>
      </c>
      <c r="AB2615" s="93">
        <f t="shared" si="631"/>
        <v>0</v>
      </c>
      <c r="AC2615" s="93">
        <f t="shared" si="632"/>
        <v>0</v>
      </c>
      <c r="AD2615" s="93">
        <f t="shared" si="633"/>
        <v>0</v>
      </c>
      <c r="AE2615" s="93">
        <f t="shared" si="634"/>
        <v>0</v>
      </c>
      <c r="AF2615" s="93">
        <f t="shared" si="635"/>
        <v>0</v>
      </c>
      <c r="AG2615" s="93">
        <f t="shared" si="636"/>
        <v>0</v>
      </c>
      <c r="AH2615" s="93">
        <f t="shared" si="637"/>
        <v>0</v>
      </c>
      <c r="AI2615" s="88" t="s">
        <v>55</v>
      </c>
      <c r="AJ2615" s="93">
        <f t="shared" si="638"/>
        <v>0</v>
      </c>
      <c r="AK2615" s="93">
        <f t="shared" si="639"/>
        <v>0</v>
      </c>
      <c r="AL2615" s="93">
        <f t="shared" si="640"/>
        <v>0</v>
      </c>
      <c r="AN2615" s="93">
        <v>21</v>
      </c>
      <c r="AO2615" s="93">
        <f t="shared" si="641"/>
        <v>0</v>
      </c>
      <c r="AP2615" s="93">
        <f t="shared" si="642"/>
        <v>0</v>
      </c>
      <c r="AQ2615" s="94" t="s">
        <v>118</v>
      </c>
      <c r="AV2615" s="93">
        <f t="shared" si="643"/>
        <v>0</v>
      </c>
      <c r="AW2615" s="93">
        <f t="shared" si="644"/>
        <v>0</v>
      </c>
      <c r="AX2615" s="93">
        <f t="shared" si="645"/>
        <v>0</v>
      </c>
      <c r="AY2615" s="94" t="s">
        <v>3494</v>
      </c>
      <c r="AZ2615" s="94" t="s">
        <v>3495</v>
      </c>
      <c r="BA2615" s="88" t="s">
        <v>67</v>
      </c>
      <c r="BC2615" s="93">
        <f t="shared" si="646"/>
        <v>0</v>
      </c>
      <c r="BD2615" s="93">
        <f t="shared" si="647"/>
        <v>0</v>
      </c>
      <c r="BE2615" s="93">
        <v>0</v>
      </c>
      <c r="BF2615" s="93">
        <f t="shared" si="648"/>
        <v>0</v>
      </c>
      <c r="BH2615" s="93">
        <f t="shared" si="649"/>
        <v>0</v>
      </c>
      <c r="BI2615" s="93">
        <f t="shared" si="650"/>
        <v>0</v>
      </c>
      <c r="BJ2615" s="93">
        <f t="shared" si="651"/>
        <v>0</v>
      </c>
      <c r="BK2615" s="93"/>
      <c r="BL2615" s="93"/>
      <c r="BW2615" s="93" t="str">
        <f t="shared" si="652"/>
        <v>21</v>
      </c>
      <c r="BX2615" s="2" t="s">
        <v>3717</v>
      </c>
    </row>
    <row r="2616" spans="1:76" s="81" customFormat="1" ht="25.5" x14ac:dyDescent="0.25">
      <c r="A2616" s="66" t="s">
        <v>3736</v>
      </c>
      <c r="B2616" s="72" t="s">
        <v>55</v>
      </c>
      <c r="C2616" s="72" t="s">
        <v>3719</v>
      </c>
      <c r="D2616" s="174" t="s">
        <v>3720</v>
      </c>
      <c r="E2616" s="174"/>
      <c r="F2616" s="72" t="s">
        <v>3514</v>
      </c>
      <c r="G2616" s="90">
        <v>6</v>
      </c>
      <c r="H2616" s="91"/>
      <c r="I2616" s="92" t="s">
        <v>63</v>
      </c>
      <c r="J2616" s="90">
        <f t="shared" si="625"/>
        <v>0</v>
      </c>
      <c r="K2616" s="90">
        <f t="shared" si="626"/>
        <v>0</v>
      </c>
      <c r="L2616" s="90">
        <f t="shared" si="627"/>
        <v>0</v>
      </c>
      <c r="M2616" s="90">
        <f t="shared" si="628"/>
        <v>0</v>
      </c>
      <c r="N2616" s="90">
        <v>0</v>
      </c>
      <c r="O2616" s="90">
        <f t="shared" si="629"/>
        <v>0</v>
      </c>
      <c r="P2616" s="92" t="s">
        <v>1647</v>
      </c>
      <c r="Z2616" s="93">
        <f t="shared" si="630"/>
        <v>0</v>
      </c>
      <c r="AB2616" s="93">
        <f t="shared" si="631"/>
        <v>0</v>
      </c>
      <c r="AC2616" s="93">
        <f t="shared" si="632"/>
        <v>0</v>
      </c>
      <c r="AD2616" s="93">
        <f t="shared" si="633"/>
        <v>0</v>
      </c>
      <c r="AE2616" s="93">
        <f t="shared" si="634"/>
        <v>0</v>
      </c>
      <c r="AF2616" s="93">
        <f t="shared" si="635"/>
        <v>0</v>
      </c>
      <c r="AG2616" s="93">
        <f t="shared" si="636"/>
        <v>0</v>
      </c>
      <c r="AH2616" s="93">
        <f t="shared" si="637"/>
        <v>0</v>
      </c>
      <c r="AI2616" s="88" t="s">
        <v>55</v>
      </c>
      <c r="AJ2616" s="93">
        <f t="shared" si="638"/>
        <v>0</v>
      </c>
      <c r="AK2616" s="93">
        <f t="shared" si="639"/>
        <v>0</v>
      </c>
      <c r="AL2616" s="93">
        <f t="shared" si="640"/>
        <v>0</v>
      </c>
      <c r="AN2616" s="93">
        <v>21</v>
      </c>
      <c r="AO2616" s="93">
        <f t="shared" si="641"/>
        <v>0</v>
      </c>
      <c r="AP2616" s="93">
        <f t="shared" si="642"/>
        <v>0</v>
      </c>
      <c r="AQ2616" s="94" t="s">
        <v>118</v>
      </c>
      <c r="AV2616" s="93">
        <f t="shared" si="643"/>
        <v>0</v>
      </c>
      <c r="AW2616" s="93">
        <f t="shared" si="644"/>
        <v>0</v>
      </c>
      <c r="AX2616" s="93">
        <f t="shared" si="645"/>
        <v>0</v>
      </c>
      <c r="AY2616" s="94" t="s">
        <v>3494</v>
      </c>
      <c r="AZ2616" s="94" t="s">
        <v>3495</v>
      </c>
      <c r="BA2616" s="88" t="s">
        <v>67</v>
      </c>
      <c r="BC2616" s="93">
        <f t="shared" si="646"/>
        <v>0</v>
      </c>
      <c r="BD2616" s="93">
        <f t="shared" si="647"/>
        <v>0</v>
      </c>
      <c r="BE2616" s="93">
        <v>0</v>
      </c>
      <c r="BF2616" s="93">
        <f t="shared" si="648"/>
        <v>0</v>
      </c>
      <c r="BH2616" s="93">
        <f t="shared" si="649"/>
        <v>0</v>
      </c>
      <c r="BI2616" s="93">
        <f t="shared" si="650"/>
        <v>0</v>
      </c>
      <c r="BJ2616" s="93">
        <f t="shared" si="651"/>
        <v>0</v>
      </c>
      <c r="BK2616" s="93"/>
      <c r="BL2616" s="93"/>
      <c r="BW2616" s="93" t="str">
        <f t="shared" si="652"/>
        <v>21</v>
      </c>
      <c r="BX2616" s="2" t="s">
        <v>3720</v>
      </c>
    </row>
    <row r="2617" spans="1:76" s="81" customFormat="1" ht="25.5" x14ac:dyDescent="0.25">
      <c r="A2617" s="66" t="s">
        <v>3739</v>
      </c>
      <c r="B2617" s="72" t="s">
        <v>55</v>
      </c>
      <c r="C2617" s="72" t="s">
        <v>3722</v>
      </c>
      <c r="D2617" s="174" t="s">
        <v>3723</v>
      </c>
      <c r="E2617" s="174"/>
      <c r="F2617" s="72" t="s">
        <v>3514</v>
      </c>
      <c r="G2617" s="90">
        <v>6</v>
      </c>
      <c r="H2617" s="91"/>
      <c r="I2617" s="92" t="s">
        <v>63</v>
      </c>
      <c r="J2617" s="90">
        <f t="shared" si="625"/>
        <v>0</v>
      </c>
      <c r="K2617" s="90">
        <f t="shared" si="626"/>
        <v>0</v>
      </c>
      <c r="L2617" s="90">
        <f t="shared" si="627"/>
        <v>0</v>
      </c>
      <c r="M2617" s="90">
        <f t="shared" si="628"/>
        <v>0</v>
      </c>
      <c r="N2617" s="90">
        <v>0</v>
      </c>
      <c r="O2617" s="90">
        <f t="shared" si="629"/>
        <v>0</v>
      </c>
      <c r="P2617" s="92" t="s">
        <v>1647</v>
      </c>
      <c r="Z2617" s="93">
        <f t="shared" si="630"/>
        <v>0</v>
      </c>
      <c r="AB2617" s="93">
        <f t="shared" si="631"/>
        <v>0</v>
      </c>
      <c r="AC2617" s="93">
        <f t="shared" si="632"/>
        <v>0</v>
      </c>
      <c r="AD2617" s="93">
        <f t="shared" si="633"/>
        <v>0</v>
      </c>
      <c r="AE2617" s="93">
        <f t="shared" si="634"/>
        <v>0</v>
      </c>
      <c r="AF2617" s="93">
        <f t="shared" si="635"/>
        <v>0</v>
      </c>
      <c r="AG2617" s="93">
        <f t="shared" si="636"/>
        <v>0</v>
      </c>
      <c r="AH2617" s="93">
        <f t="shared" si="637"/>
        <v>0</v>
      </c>
      <c r="AI2617" s="88" t="s">
        <v>55</v>
      </c>
      <c r="AJ2617" s="93">
        <f t="shared" si="638"/>
        <v>0</v>
      </c>
      <c r="AK2617" s="93">
        <f t="shared" si="639"/>
        <v>0</v>
      </c>
      <c r="AL2617" s="93">
        <f t="shared" si="640"/>
        <v>0</v>
      </c>
      <c r="AN2617" s="93">
        <v>21</v>
      </c>
      <c r="AO2617" s="93">
        <f t="shared" si="641"/>
        <v>0</v>
      </c>
      <c r="AP2617" s="93">
        <f t="shared" si="642"/>
        <v>0</v>
      </c>
      <c r="AQ2617" s="94" t="s">
        <v>118</v>
      </c>
      <c r="AV2617" s="93">
        <f t="shared" si="643"/>
        <v>0</v>
      </c>
      <c r="AW2617" s="93">
        <f t="shared" si="644"/>
        <v>0</v>
      </c>
      <c r="AX2617" s="93">
        <f t="shared" si="645"/>
        <v>0</v>
      </c>
      <c r="AY2617" s="94" t="s">
        <v>3494</v>
      </c>
      <c r="AZ2617" s="94" t="s">
        <v>3495</v>
      </c>
      <c r="BA2617" s="88" t="s">
        <v>67</v>
      </c>
      <c r="BC2617" s="93">
        <f t="shared" si="646"/>
        <v>0</v>
      </c>
      <c r="BD2617" s="93">
        <f t="shared" si="647"/>
        <v>0</v>
      </c>
      <c r="BE2617" s="93">
        <v>0</v>
      </c>
      <c r="BF2617" s="93">
        <f t="shared" si="648"/>
        <v>0</v>
      </c>
      <c r="BH2617" s="93">
        <f t="shared" si="649"/>
        <v>0</v>
      </c>
      <c r="BI2617" s="93">
        <f t="shared" si="650"/>
        <v>0</v>
      </c>
      <c r="BJ2617" s="93">
        <f t="shared" si="651"/>
        <v>0</v>
      </c>
      <c r="BK2617" s="93"/>
      <c r="BL2617" s="93"/>
      <c r="BW2617" s="93" t="str">
        <f t="shared" si="652"/>
        <v>21</v>
      </c>
      <c r="BX2617" s="2" t="s">
        <v>3723</v>
      </c>
    </row>
    <row r="2618" spans="1:76" s="81" customFormat="1" ht="25.5" x14ac:dyDescent="0.25">
      <c r="A2618" s="66" t="s">
        <v>3742</v>
      </c>
      <c r="B2618" s="72" t="s">
        <v>55</v>
      </c>
      <c r="C2618" s="72" t="s">
        <v>3725</v>
      </c>
      <c r="D2618" s="174" t="s">
        <v>3726</v>
      </c>
      <c r="E2618" s="174"/>
      <c r="F2618" s="72" t="s">
        <v>3514</v>
      </c>
      <c r="G2618" s="90">
        <v>12</v>
      </c>
      <c r="H2618" s="91"/>
      <c r="I2618" s="92" t="s">
        <v>63</v>
      </c>
      <c r="J2618" s="90">
        <f t="shared" si="625"/>
        <v>0</v>
      </c>
      <c r="K2618" s="90">
        <f t="shared" si="626"/>
        <v>0</v>
      </c>
      <c r="L2618" s="90">
        <f t="shared" si="627"/>
        <v>0</v>
      </c>
      <c r="M2618" s="90">
        <f t="shared" si="628"/>
        <v>0</v>
      </c>
      <c r="N2618" s="90">
        <v>0</v>
      </c>
      <c r="O2618" s="90">
        <f t="shared" si="629"/>
        <v>0</v>
      </c>
      <c r="P2618" s="92" t="s">
        <v>1647</v>
      </c>
      <c r="Z2618" s="93">
        <f t="shared" si="630"/>
        <v>0</v>
      </c>
      <c r="AB2618" s="93">
        <f t="shared" si="631"/>
        <v>0</v>
      </c>
      <c r="AC2618" s="93">
        <f t="shared" si="632"/>
        <v>0</v>
      </c>
      <c r="AD2618" s="93">
        <f t="shared" si="633"/>
        <v>0</v>
      </c>
      <c r="AE2618" s="93">
        <f t="shared" si="634"/>
        <v>0</v>
      </c>
      <c r="AF2618" s="93">
        <f t="shared" si="635"/>
        <v>0</v>
      </c>
      <c r="AG2618" s="93">
        <f t="shared" si="636"/>
        <v>0</v>
      </c>
      <c r="AH2618" s="93">
        <f t="shared" si="637"/>
        <v>0</v>
      </c>
      <c r="AI2618" s="88" t="s">
        <v>55</v>
      </c>
      <c r="AJ2618" s="93">
        <f t="shared" si="638"/>
        <v>0</v>
      </c>
      <c r="AK2618" s="93">
        <f t="shared" si="639"/>
        <v>0</v>
      </c>
      <c r="AL2618" s="93">
        <f t="shared" si="640"/>
        <v>0</v>
      </c>
      <c r="AN2618" s="93">
        <v>21</v>
      </c>
      <c r="AO2618" s="93">
        <f t="shared" si="641"/>
        <v>0</v>
      </c>
      <c r="AP2618" s="93">
        <f t="shared" si="642"/>
        <v>0</v>
      </c>
      <c r="AQ2618" s="94" t="s">
        <v>118</v>
      </c>
      <c r="AV2618" s="93">
        <f t="shared" si="643"/>
        <v>0</v>
      </c>
      <c r="AW2618" s="93">
        <f t="shared" si="644"/>
        <v>0</v>
      </c>
      <c r="AX2618" s="93">
        <f t="shared" si="645"/>
        <v>0</v>
      </c>
      <c r="AY2618" s="94" t="s">
        <v>3494</v>
      </c>
      <c r="AZ2618" s="94" t="s">
        <v>3495</v>
      </c>
      <c r="BA2618" s="88" t="s">
        <v>67</v>
      </c>
      <c r="BC2618" s="93">
        <f t="shared" si="646"/>
        <v>0</v>
      </c>
      <c r="BD2618" s="93">
        <f t="shared" si="647"/>
        <v>0</v>
      </c>
      <c r="BE2618" s="93">
        <v>0</v>
      </c>
      <c r="BF2618" s="93">
        <f t="shared" si="648"/>
        <v>0</v>
      </c>
      <c r="BH2618" s="93">
        <f t="shared" si="649"/>
        <v>0</v>
      </c>
      <c r="BI2618" s="93">
        <f t="shared" si="650"/>
        <v>0</v>
      </c>
      <c r="BJ2618" s="93">
        <f t="shared" si="651"/>
        <v>0</v>
      </c>
      <c r="BK2618" s="93"/>
      <c r="BL2618" s="93"/>
      <c r="BW2618" s="93" t="str">
        <f t="shared" si="652"/>
        <v>21</v>
      </c>
      <c r="BX2618" s="2" t="s">
        <v>3726</v>
      </c>
    </row>
    <row r="2619" spans="1:76" s="81" customFormat="1" ht="25.5" x14ac:dyDescent="0.25">
      <c r="A2619" s="66" t="s">
        <v>3745</v>
      </c>
      <c r="B2619" s="72" t="s">
        <v>55</v>
      </c>
      <c r="C2619" s="72" t="s">
        <v>3728</v>
      </c>
      <c r="D2619" s="174" t="s">
        <v>3729</v>
      </c>
      <c r="E2619" s="174"/>
      <c r="F2619" s="72" t="s">
        <v>3514</v>
      </c>
      <c r="G2619" s="90">
        <v>1</v>
      </c>
      <c r="H2619" s="91"/>
      <c r="I2619" s="92" t="s">
        <v>63</v>
      </c>
      <c r="J2619" s="90">
        <f t="shared" si="625"/>
        <v>0</v>
      </c>
      <c r="K2619" s="90">
        <f t="shared" si="626"/>
        <v>0</v>
      </c>
      <c r="L2619" s="90">
        <f t="shared" si="627"/>
        <v>0</v>
      </c>
      <c r="M2619" s="90">
        <f t="shared" si="628"/>
        <v>0</v>
      </c>
      <c r="N2619" s="90">
        <v>0</v>
      </c>
      <c r="O2619" s="90">
        <f t="shared" si="629"/>
        <v>0</v>
      </c>
      <c r="P2619" s="92" t="s">
        <v>1647</v>
      </c>
      <c r="Z2619" s="93">
        <f t="shared" si="630"/>
        <v>0</v>
      </c>
      <c r="AB2619" s="93">
        <f t="shared" si="631"/>
        <v>0</v>
      </c>
      <c r="AC2619" s="93">
        <f t="shared" si="632"/>
        <v>0</v>
      </c>
      <c r="AD2619" s="93">
        <f t="shared" si="633"/>
        <v>0</v>
      </c>
      <c r="AE2619" s="93">
        <f t="shared" si="634"/>
        <v>0</v>
      </c>
      <c r="AF2619" s="93">
        <f t="shared" si="635"/>
        <v>0</v>
      </c>
      <c r="AG2619" s="93">
        <f t="shared" si="636"/>
        <v>0</v>
      </c>
      <c r="AH2619" s="93">
        <f t="shared" si="637"/>
        <v>0</v>
      </c>
      <c r="AI2619" s="88" t="s">
        <v>55</v>
      </c>
      <c r="AJ2619" s="93">
        <f t="shared" si="638"/>
        <v>0</v>
      </c>
      <c r="AK2619" s="93">
        <f t="shared" si="639"/>
        <v>0</v>
      </c>
      <c r="AL2619" s="93">
        <f t="shared" si="640"/>
        <v>0</v>
      </c>
      <c r="AN2619" s="93">
        <v>21</v>
      </c>
      <c r="AO2619" s="93">
        <f t="shared" si="641"/>
        <v>0</v>
      </c>
      <c r="AP2619" s="93">
        <f t="shared" si="642"/>
        <v>0</v>
      </c>
      <c r="AQ2619" s="94" t="s">
        <v>118</v>
      </c>
      <c r="AV2619" s="93">
        <f t="shared" si="643"/>
        <v>0</v>
      </c>
      <c r="AW2619" s="93">
        <f t="shared" si="644"/>
        <v>0</v>
      </c>
      <c r="AX2619" s="93">
        <f t="shared" si="645"/>
        <v>0</v>
      </c>
      <c r="AY2619" s="94" t="s">
        <v>3494</v>
      </c>
      <c r="AZ2619" s="94" t="s">
        <v>3495</v>
      </c>
      <c r="BA2619" s="88" t="s">
        <v>67</v>
      </c>
      <c r="BC2619" s="93">
        <f t="shared" si="646"/>
        <v>0</v>
      </c>
      <c r="BD2619" s="93">
        <f t="shared" si="647"/>
        <v>0</v>
      </c>
      <c r="BE2619" s="93">
        <v>0</v>
      </c>
      <c r="BF2619" s="93">
        <f t="shared" si="648"/>
        <v>0</v>
      </c>
      <c r="BH2619" s="93">
        <f t="shared" si="649"/>
        <v>0</v>
      </c>
      <c r="BI2619" s="93">
        <f t="shared" si="650"/>
        <v>0</v>
      </c>
      <c r="BJ2619" s="93">
        <f t="shared" si="651"/>
        <v>0</v>
      </c>
      <c r="BK2619" s="93"/>
      <c r="BL2619" s="93"/>
      <c r="BW2619" s="93" t="str">
        <f t="shared" si="652"/>
        <v>21</v>
      </c>
      <c r="BX2619" s="2" t="s">
        <v>3729</v>
      </c>
    </row>
    <row r="2620" spans="1:76" s="81" customFormat="1" ht="25.5" x14ac:dyDescent="0.25">
      <c r="A2620" s="66" t="s">
        <v>3748</v>
      </c>
      <c r="B2620" s="72" t="s">
        <v>55</v>
      </c>
      <c r="C2620" s="72" t="s">
        <v>3731</v>
      </c>
      <c r="D2620" s="174" t="s">
        <v>3732</v>
      </c>
      <c r="E2620" s="174"/>
      <c r="F2620" s="72" t="s">
        <v>3514</v>
      </c>
      <c r="G2620" s="90">
        <v>1</v>
      </c>
      <c r="H2620" s="91"/>
      <c r="I2620" s="92" t="s">
        <v>63</v>
      </c>
      <c r="J2620" s="90">
        <f t="shared" si="625"/>
        <v>0</v>
      </c>
      <c r="K2620" s="90">
        <f t="shared" si="626"/>
        <v>0</v>
      </c>
      <c r="L2620" s="90">
        <f t="shared" si="627"/>
        <v>0</v>
      </c>
      <c r="M2620" s="90">
        <f t="shared" si="628"/>
        <v>0</v>
      </c>
      <c r="N2620" s="90">
        <v>0</v>
      </c>
      <c r="O2620" s="90">
        <f t="shared" si="629"/>
        <v>0</v>
      </c>
      <c r="P2620" s="92" t="s">
        <v>1647</v>
      </c>
      <c r="Z2620" s="93">
        <f t="shared" si="630"/>
        <v>0</v>
      </c>
      <c r="AB2620" s="93">
        <f t="shared" si="631"/>
        <v>0</v>
      </c>
      <c r="AC2620" s="93">
        <f t="shared" si="632"/>
        <v>0</v>
      </c>
      <c r="AD2620" s="93">
        <f t="shared" si="633"/>
        <v>0</v>
      </c>
      <c r="AE2620" s="93">
        <f t="shared" si="634"/>
        <v>0</v>
      </c>
      <c r="AF2620" s="93">
        <f t="shared" si="635"/>
        <v>0</v>
      </c>
      <c r="AG2620" s="93">
        <f t="shared" si="636"/>
        <v>0</v>
      </c>
      <c r="AH2620" s="93">
        <f t="shared" si="637"/>
        <v>0</v>
      </c>
      <c r="AI2620" s="88" t="s">
        <v>55</v>
      </c>
      <c r="AJ2620" s="93">
        <f t="shared" si="638"/>
        <v>0</v>
      </c>
      <c r="AK2620" s="93">
        <f t="shared" si="639"/>
        <v>0</v>
      </c>
      <c r="AL2620" s="93">
        <f t="shared" si="640"/>
        <v>0</v>
      </c>
      <c r="AN2620" s="93">
        <v>21</v>
      </c>
      <c r="AO2620" s="93">
        <f t="shared" si="641"/>
        <v>0</v>
      </c>
      <c r="AP2620" s="93">
        <f t="shared" si="642"/>
        <v>0</v>
      </c>
      <c r="AQ2620" s="94" t="s">
        <v>118</v>
      </c>
      <c r="AV2620" s="93">
        <f t="shared" si="643"/>
        <v>0</v>
      </c>
      <c r="AW2620" s="93">
        <f t="shared" si="644"/>
        <v>0</v>
      </c>
      <c r="AX2620" s="93">
        <f t="shared" si="645"/>
        <v>0</v>
      </c>
      <c r="AY2620" s="94" t="s">
        <v>3494</v>
      </c>
      <c r="AZ2620" s="94" t="s">
        <v>3495</v>
      </c>
      <c r="BA2620" s="88" t="s">
        <v>67</v>
      </c>
      <c r="BC2620" s="93">
        <f t="shared" si="646"/>
        <v>0</v>
      </c>
      <c r="BD2620" s="93">
        <f t="shared" si="647"/>
        <v>0</v>
      </c>
      <c r="BE2620" s="93">
        <v>0</v>
      </c>
      <c r="BF2620" s="93">
        <f t="shared" si="648"/>
        <v>0</v>
      </c>
      <c r="BH2620" s="93">
        <f t="shared" si="649"/>
        <v>0</v>
      </c>
      <c r="BI2620" s="93">
        <f t="shared" si="650"/>
        <v>0</v>
      </c>
      <c r="BJ2620" s="93">
        <f t="shared" si="651"/>
        <v>0</v>
      </c>
      <c r="BK2620" s="93"/>
      <c r="BL2620" s="93"/>
      <c r="BW2620" s="93" t="str">
        <f t="shared" si="652"/>
        <v>21</v>
      </c>
      <c r="BX2620" s="2" t="s">
        <v>3732</v>
      </c>
    </row>
    <row r="2621" spans="1:76" s="81" customFormat="1" ht="25.5" x14ac:dyDescent="0.25">
      <c r="A2621" s="66" t="s">
        <v>3751</v>
      </c>
      <c r="B2621" s="72" t="s">
        <v>55</v>
      </c>
      <c r="C2621" s="72" t="s">
        <v>3734</v>
      </c>
      <c r="D2621" s="174" t="s">
        <v>3735</v>
      </c>
      <c r="E2621" s="174"/>
      <c r="F2621" s="72" t="s">
        <v>213</v>
      </c>
      <c r="G2621" s="90">
        <v>254</v>
      </c>
      <c r="H2621" s="91"/>
      <c r="I2621" s="92" t="s">
        <v>63</v>
      </c>
      <c r="J2621" s="90">
        <f t="shared" si="625"/>
        <v>0</v>
      </c>
      <c r="K2621" s="90">
        <f t="shared" si="626"/>
        <v>0</v>
      </c>
      <c r="L2621" s="90">
        <f t="shared" si="627"/>
        <v>0</v>
      </c>
      <c r="M2621" s="90">
        <f t="shared" si="628"/>
        <v>0</v>
      </c>
      <c r="N2621" s="90">
        <v>0</v>
      </c>
      <c r="O2621" s="90">
        <f t="shared" si="629"/>
        <v>0</v>
      </c>
      <c r="P2621" s="92" t="s">
        <v>1647</v>
      </c>
      <c r="Z2621" s="93">
        <f t="shared" si="630"/>
        <v>0</v>
      </c>
      <c r="AB2621" s="93">
        <f t="shared" si="631"/>
        <v>0</v>
      </c>
      <c r="AC2621" s="93">
        <f t="shared" si="632"/>
        <v>0</v>
      </c>
      <c r="AD2621" s="93">
        <f t="shared" si="633"/>
        <v>0</v>
      </c>
      <c r="AE2621" s="93">
        <f t="shared" si="634"/>
        <v>0</v>
      </c>
      <c r="AF2621" s="93">
        <f t="shared" si="635"/>
        <v>0</v>
      </c>
      <c r="AG2621" s="93">
        <f t="shared" si="636"/>
        <v>0</v>
      </c>
      <c r="AH2621" s="93">
        <f t="shared" si="637"/>
        <v>0</v>
      </c>
      <c r="AI2621" s="88" t="s">
        <v>55</v>
      </c>
      <c r="AJ2621" s="93">
        <f t="shared" si="638"/>
        <v>0</v>
      </c>
      <c r="AK2621" s="93">
        <f t="shared" si="639"/>
        <v>0</v>
      </c>
      <c r="AL2621" s="93">
        <f t="shared" si="640"/>
        <v>0</v>
      </c>
      <c r="AN2621" s="93">
        <v>21</v>
      </c>
      <c r="AO2621" s="93">
        <f t="shared" si="641"/>
        <v>0</v>
      </c>
      <c r="AP2621" s="93">
        <f t="shared" si="642"/>
        <v>0</v>
      </c>
      <c r="AQ2621" s="94" t="s">
        <v>118</v>
      </c>
      <c r="AV2621" s="93">
        <f t="shared" si="643"/>
        <v>0</v>
      </c>
      <c r="AW2621" s="93">
        <f t="shared" si="644"/>
        <v>0</v>
      </c>
      <c r="AX2621" s="93">
        <f t="shared" si="645"/>
        <v>0</v>
      </c>
      <c r="AY2621" s="94" t="s">
        <v>3494</v>
      </c>
      <c r="AZ2621" s="94" t="s">
        <v>3495</v>
      </c>
      <c r="BA2621" s="88" t="s">
        <v>67</v>
      </c>
      <c r="BC2621" s="93">
        <f t="shared" si="646"/>
        <v>0</v>
      </c>
      <c r="BD2621" s="93">
        <f t="shared" si="647"/>
        <v>0</v>
      </c>
      <c r="BE2621" s="93">
        <v>0</v>
      </c>
      <c r="BF2621" s="93">
        <f t="shared" si="648"/>
        <v>0</v>
      </c>
      <c r="BH2621" s="93">
        <f t="shared" si="649"/>
        <v>0</v>
      </c>
      <c r="BI2621" s="93">
        <f t="shared" si="650"/>
        <v>0</v>
      </c>
      <c r="BJ2621" s="93">
        <f t="shared" si="651"/>
        <v>0</v>
      </c>
      <c r="BK2621" s="93"/>
      <c r="BL2621" s="93"/>
      <c r="BW2621" s="93" t="str">
        <f t="shared" si="652"/>
        <v>21</v>
      </c>
      <c r="BX2621" s="2" t="s">
        <v>3735</v>
      </c>
    </row>
    <row r="2622" spans="1:76" s="81" customFormat="1" ht="25.5" x14ac:dyDescent="0.25">
      <c r="A2622" s="66" t="s">
        <v>3754</v>
      </c>
      <c r="B2622" s="72" t="s">
        <v>55</v>
      </c>
      <c r="C2622" s="72" t="s">
        <v>3737</v>
      </c>
      <c r="D2622" s="174" t="s">
        <v>3738</v>
      </c>
      <c r="E2622" s="174"/>
      <c r="F2622" s="72" t="s">
        <v>213</v>
      </c>
      <c r="G2622" s="90">
        <v>48</v>
      </c>
      <c r="H2622" s="91"/>
      <c r="I2622" s="92" t="s">
        <v>63</v>
      </c>
      <c r="J2622" s="90">
        <f t="shared" si="625"/>
        <v>0</v>
      </c>
      <c r="K2622" s="90">
        <f t="shared" si="626"/>
        <v>0</v>
      </c>
      <c r="L2622" s="90">
        <f t="shared" si="627"/>
        <v>0</v>
      </c>
      <c r="M2622" s="90">
        <f t="shared" si="628"/>
        <v>0</v>
      </c>
      <c r="N2622" s="90">
        <v>0</v>
      </c>
      <c r="O2622" s="90">
        <f t="shared" si="629"/>
        <v>0</v>
      </c>
      <c r="P2622" s="92" t="s">
        <v>1647</v>
      </c>
      <c r="Z2622" s="93">
        <f t="shared" si="630"/>
        <v>0</v>
      </c>
      <c r="AB2622" s="93">
        <f t="shared" si="631"/>
        <v>0</v>
      </c>
      <c r="AC2622" s="93">
        <f t="shared" si="632"/>
        <v>0</v>
      </c>
      <c r="AD2622" s="93">
        <f t="shared" si="633"/>
        <v>0</v>
      </c>
      <c r="AE2622" s="93">
        <f t="shared" si="634"/>
        <v>0</v>
      </c>
      <c r="AF2622" s="93">
        <f t="shared" si="635"/>
        <v>0</v>
      </c>
      <c r="AG2622" s="93">
        <f t="shared" si="636"/>
        <v>0</v>
      </c>
      <c r="AH2622" s="93">
        <f t="shared" si="637"/>
        <v>0</v>
      </c>
      <c r="AI2622" s="88" t="s">
        <v>55</v>
      </c>
      <c r="AJ2622" s="93">
        <f t="shared" si="638"/>
        <v>0</v>
      </c>
      <c r="AK2622" s="93">
        <f t="shared" si="639"/>
        <v>0</v>
      </c>
      <c r="AL2622" s="93">
        <f t="shared" si="640"/>
        <v>0</v>
      </c>
      <c r="AN2622" s="93">
        <v>21</v>
      </c>
      <c r="AO2622" s="93">
        <f t="shared" si="641"/>
        <v>0</v>
      </c>
      <c r="AP2622" s="93">
        <f t="shared" si="642"/>
        <v>0</v>
      </c>
      <c r="AQ2622" s="94" t="s">
        <v>118</v>
      </c>
      <c r="AV2622" s="93">
        <f t="shared" si="643"/>
        <v>0</v>
      </c>
      <c r="AW2622" s="93">
        <f t="shared" si="644"/>
        <v>0</v>
      </c>
      <c r="AX2622" s="93">
        <f t="shared" si="645"/>
        <v>0</v>
      </c>
      <c r="AY2622" s="94" t="s">
        <v>3494</v>
      </c>
      <c r="AZ2622" s="94" t="s">
        <v>3495</v>
      </c>
      <c r="BA2622" s="88" t="s">
        <v>67</v>
      </c>
      <c r="BC2622" s="93">
        <f t="shared" si="646"/>
        <v>0</v>
      </c>
      <c r="BD2622" s="93">
        <f t="shared" si="647"/>
        <v>0</v>
      </c>
      <c r="BE2622" s="93">
        <v>0</v>
      </c>
      <c r="BF2622" s="93">
        <f t="shared" si="648"/>
        <v>0</v>
      </c>
      <c r="BH2622" s="93">
        <f t="shared" si="649"/>
        <v>0</v>
      </c>
      <c r="BI2622" s="93">
        <f t="shared" si="650"/>
        <v>0</v>
      </c>
      <c r="BJ2622" s="93">
        <f t="shared" si="651"/>
        <v>0</v>
      </c>
      <c r="BK2622" s="93"/>
      <c r="BL2622" s="93"/>
      <c r="BW2622" s="93" t="str">
        <f t="shared" si="652"/>
        <v>21</v>
      </c>
      <c r="BX2622" s="2" t="s">
        <v>3738</v>
      </c>
    </row>
    <row r="2623" spans="1:76" s="81" customFormat="1" ht="25.5" x14ac:dyDescent="0.25">
      <c r="A2623" s="66" t="s">
        <v>3757</v>
      </c>
      <c r="B2623" s="72" t="s">
        <v>55</v>
      </c>
      <c r="C2623" s="72" t="s">
        <v>3740</v>
      </c>
      <c r="D2623" s="174" t="s">
        <v>3741</v>
      </c>
      <c r="E2623" s="174"/>
      <c r="F2623" s="72" t="s">
        <v>213</v>
      </c>
      <c r="G2623" s="90">
        <v>317</v>
      </c>
      <c r="H2623" s="91"/>
      <c r="I2623" s="92" t="s">
        <v>63</v>
      </c>
      <c r="J2623" s="90">
        <f t="shared" si="625"/>
        <v>0</v>
      </c>
      <c r="K2623" s="90">
        <f t="shared" si="626"/>
        <v>0</v>
      </c>
      <c r="L2623" s="90">
        <f t="shared" si="627"/>
        <v>0</v>
      </c>
      <c r="M2623" s="90">
        <f t="shared" si="628"/>
        <v>0</v>
      </c>
      <c r="N2623" s="90">
        <v>0</v>
      </c>
      <c r="O2623" s="90">
        <f t="shared" si="629"/>
        <v>0</v>
      </c>
      <c r="P2623" s="92" t="s">
        <v>1647</v>
      </c>
      <c r="Z2623" s="93">
        <f t="shared" si="630"/>
        <v>0</v>
      </c>
      <c r="AB2623" s="93">
        <f t="shared" si="631"/>
        <v>0</v>
      </c>
      <c r="AC2623" s="93">
        <f t="shared" si="632"/>
        <v>0</v>
      </c>
      <c r="AD2623" s="93">
        <f t="shared" si="633"/>
        <v>0</v>
      </c>
      <c r="AE2623" s="93">
        <f t="shared" si="634"/>
        <v>0</v>
      </c>
      <c r="AF2623" s="93">
        <f t="shared" si="635"/>
        <v>0</v>
      </c>
      <c r="AG2623" s="93">
        <f t="shared" si="636"/>
        <v>0</v>
      </c>
      <c r="AH2623" s="93">
        <f t="shared" si="637"/>
        <v>0</v>
      </c>
      <c r="AI2623" s="88" t="s">
        <v>55</v>
      </c>
      <c r="AJ2623" s="93">
        <f t="shared" si="638"/>
        <v>0</v>
      </c>
      <c r="AK2623" s="93">
        <f t="shared" si="639"/>
        <v>0</v>
      </c>
      <c r="AL2623" s="93">
        <f t="shared" si="640"/>
        <v>0</v>
      </c>
      <c r="AN2623" s="93">
        <v>21</v>
      </c>
      <c r="AO2623" s="93">
        <f t="shared" si="641"/>
        <v>0</v>
      </c>
      <c r="AP2623" s="93">
        <f t="shared" si="642"/>
        <v>0</v>
      </c>
      <c r="AQ2623" s="94" t="s">
        <v>118</v>
      </c>
      <c r="AV2623" s="93">
        <f t="shared" si="643"/>
        <v>0</v>
      </c>
      <c r="AW2623" s="93">
        <f t="shared" si="644"/>
        <v>0</v>
      </c>
      <c r="AX2623" s="93">
        <f t="shared" si="645"/>
        <v>0</v>
      </c>
      <c r="AY2623" s="94" t="s">
        <v>3494</v>
      </c>
      <c r="AZ2623" s="94" t="s">
        <v>3495</v>
      </c>
      <c r="BA2623" s="88" t="s">
        <v>67</v>
      </c>
      <c r="BC2623" s="93">
        <f t="shared" si="646"/>
        <v>0</v>
      </c>
      <c r="BD2623" s="93">
        <f t="shared" si="647"/>
        <v>0</v>
      </c>
      <c r="BE2623" s="93">
        <v>0</v>
      </c>
      <c r="BF2623" s="93">
        <f t="shared" si="648"/>
        <v>0</v>
      </c>
      <c r="BH2623" s="93">
        <f t="shared" si="649"/>
        <v>0</v>
      </c>
      <c r="BI2623" s="93">
        <f t="shared" si="650"/>
        <v>0</v>
      </c>
      <c r="BJ2623" s="93">
        <f t="shared" si="651"/>
        <v>0</v>
      </c>
      <c r="BK2623" s="93"/>
      <c r="BL2623" s="93"/>
      <c r="BW2623" s="93" t="str">
        <f t="shared" si="652"/>
        <v>21</v>
      </c>
      <c r="BX2623" s="2" t="s">
        <v>3741</v>
      </c>
    </row>
    <row r="2624" spans="1:76" s="81" customFormat="1" ht="25.5" x14ac:dyDescent="0.25">
      <c r="A2624" s="66" t="s">
        <v>3760</v>
      </c>
      <c r="B2624" s="72" t="s">
        <v>55</v>
      </c>
      <c r="C2624" s="72" t="s">
        <v>3743</v>
      </c>
      <c r="D2624" s="174" t="s">
        <v>3744</v>
      </c>
      <c r="E2624" s="174"/>
      <c r="F2624" s="72" t="s">
        <v>213</v>
      </c>
      <c r="G2624" s="90">
        <v>91</v>
      </c>
      <c r="H2624" s="91"/>
      <c r="I2624" s="92" t="s">
        <v>63</v>
      </c>
      <c r="J2624" s="90">
        <f t="shared" si="625"/>
        <v>0</v>
      </c>
      <c r="K2624" s="90">
        <f t="shared" si="626"/>
        <v>0</v>
      </c>
      <c r="L2624" s="90">
        <f t="shared" si="627"/>
        <v>0</v>
      </c>
      <c r="M2624" s="90">
        <f t="shared" si="628"/>
        <v>0</v>
      </c>
      <c r="N2624" s="90">
        <v>0</v>
      </c>
      <c r="O2624" s="90">
        <f t="shared" si="629"/>
        <v>0</v>
      </c>
      <c r="P2624" s="92" t="s">
        <v>1647</v>
      </c>
      <c r="Z2624" s="93">
        <f t="shared" si="630"/>
        <v>0</v>
      </c>
      <c r="AB2624" s="93">
        <f t="shared" si="631"/>
        <v>0</v>
      </c>
      <c r="AC2624" s="93">
        <f t="shared" si="632"/>
        <v>0</v>
      </c>
      <c r="AD2624" s="93">
        <f t="shared" si="633"/>
        <v>0</v>
      </c>
      <c r="AE2624" s="93">
        <f t="shared" si="634"/>
        <v>0</v>
      </c>
      <c r="AF2624" s="93">
        <f t="shared" si="635"/>
        <v>0</v>
      </c>
      <c r="AG2624" s="93">
        <f t="shared" si="636"/>
        <v>0</v>
      </c>
      <c r="AH2624" s="93">
        <f t="shared" si="637"/>
        <v>0</v>
      </c>
      <c r="AI2624" s="88" t="s">
        <v>55</v>
      </c>
      <c r="AJ2624" s="93">
        <f t="shared" si="638"/>
        <v>0</v>
      </c>
      <c r="AK2624" s="93">
        <f t="shared" si="639"/>
        <v>0</v>
      </c>
      <c r="AL2624" s="93">
        <f t="shared" si="640"/>
        <v>0</v>
      </c>
      <c r="AN2624" s="93">
        <v>21</v>
      </c>
      <c r="AO2624" s="93">
        <f t="shared" si="641"/>
        <v>0</v>
      </c>
      <c r="AP2624" s="93">
        <f t="shared" si="642"/>
        <v>0</v>
      </c>
      <c r="AQ2624" s="94" t="s">
        <v>118</v>
      </c>
      <c r="AV2624" s="93">
        <f t="shared" si="643"/>
        <v>0</v>
      </c>
      <c r="AW2624" s="93">
        <f t="shared" si="644"/>
        <v>0</v>
      </c>
      <c r="AX2624" s="93">
        <f t="shared" si="645"/>
        <v>0</v>
      </c>
      <c r="AY2624" s="94" t="s">
        <v>3494</v>
      </c>
      <c r="AZ2624" s="94" t="s">
        <v>3495</v>
      </c>
      <c r="BA2624" s="88" t="s">
        <v>67</v>
      </c>
      <c r="BC2624" s="93">
        <f t="shared" si="646"/>
        <v>0</v>
      </c>
      <c r="BD2624" s="93">
        <f t="shared" si="647"/>
        <v>0</v>
      </c>
      <c r="BE2624" s="93">
        <v>0</v>
      </c>
      <c r="BF2624" s="93">
        <f t="shared" si="648"/>
        <v>0</v>
      </c>
      <c r="BH2624" s="93">
        <f t="shared" si="649"/>
        <v>0</v>
      </c>
      <c r="BI2624" s="93">
        <f t="shared" si="650"/>
        <v>0</v>
      </c>
      <c r="BJ2624" s="93">
        <f t="shared" si="651"/>
        <v>0</v>
      </c>
      <c r="BK2624" s="93"/>
      <c r="BL2624" s="93"/>
      <c r="BW2624" s="93" t="str">
        <f t="shared" si="652"/>
        <v>21</v>
      </c>
      <c r="BX2624" s="2" t="s">
        <v>3744</v>
      </c>
    </row>
    <row r="2625" spans="1:76" s="81" customFormat="1" ht="25.5" x14ac:dyDescent="0.25">
      <c r="A2625" s="66" t="s">
        <v>3763</v>
      </c>
      <c r="B2625" s="72" t="s">
        <v>55</v>
      </c>
      <c r="C2625" s="72" t="s">
        <v>3746</v>
      </c>
      <c r="D2625" s="174" t="s">
        <v>3747</v>
      </c>
      <c r="E2625" s="174"/>
      <c r="F2625" s="72" t="s">
        <v>3514</v>
      </c>
      <c r="G2625" s="90">
        <v>17</v>
      </c>
      <c r="H2625" s="91"/>
      <c r="I2625" s="92" t="s">
        <v>63</v>
      </c>
      <c r="J2625" s="90">
        <f t="shared" si="625"/>
        <v>0</v>
      </c>
      <c r="K2625" s="90">
        <f t="shared" si="626"/>
        <v>0</v>
      </c>
      <c r="L2625" s="90">
        <f t="shared" si="627"/>
        <v>0</v>
      </c>
      <c r="M2625" s="90">
        <f t="shared" si="628"/>
        <v>0</v>
      </c>
      <c r="N2625" s="90">
        <v>0</v>
      </c>
      <c r="O2625" s="90">
        <f t="shared" si="629"/>
        <v>0</v>
      </c>
      <c r="P2625" s="92" t="s">
        <v>1647</v>
      </c>
      <c r="Z2625" s="93">
        <f t="shared" si="630"/>
        <v>0</v>
      </c>
      <c r="AB2625" s="93">
        <f t="shared" si="631"/>
        <v>0</v>
      </c>
      <c r="AC2625" s="93">
        <f t="shared" si="632"/>
        <v>0</v>
      </c>
      <c r="AD2625" s="93">
        <f t="shared" si="633"/>
        <v>0</v>
      </c>
      <c r="AE2625" s="93">
        <f t="shared" si="634"/>
        <v>0</v>
      </c>
      <c r="AF2625" s="93">
        <f t="shared" si="635"/>
        <v>0</v>
      </c>
      <c r="AG2625" s="93">
        <f t="shared" si="636"/>
        <v>0</v>
      </c>
      <c r="AH2625" s="93">
        <f t="shared" si="637"/>
        <v>0</v>
      </c>
      <c r="AI2625" s="88" t="s">
        <v>55</v>
      </c>
      <c r="AJ2625" s="93">
        <f t="shared" si="638"/>
        <v>0</v>
      </c>
      <c r="AK2625" s="93">
        <f t="shared" si="639"/>
        <v>0</v>
      </c>
      <c r="AL2625" s="93">
        <f t="shared" si="640"/>
        <v>0</v>
      </c>
      <c r="AN2625" s="93">
        <v>21</v>
      </c>
      <c r="AO2625" s="93">
        <f t="shared" si="641"/>
        <v>0</v>
      </c>
      <c r="AP2625" s="93">
        <f t="shared" si="642"/>
        <v>0</v>
      </c>
      <c r="AQ2625" s="94" t="s">
        <v>118</v>
      </c>
      <c r="AV2625" s="93">
        <f t="shared" si="643"/>
        <v>0</v>
      </c>
      <c r="AW2625" s="93">
        <f t="shared" si="644"/>
        <v>0</v>
      </c>
      <c r="AX2625" s="93">
        <f t="shared" si="645"/>
        <v>0</v>
      </c>
      <c r="AY2625" s="94" t="s">
        <v>3494</v>
      </c>
      <c r="AZ2625" s="94" t="s">
        <v>3495</v>
      </c>
      <c r="BA2625" s="88" t="s">
        <v>67</v>
      </c>
      <c r="BC2625" s="93">
        <f t="shared" si="646"/>
        <v>0</v>
      </c>
      <c r="BD2625" s="93">
        <f t="shared" si="647"/>
        <v>0</v>
      </c>
      <c r="BE2625" s="93">
        <v>0</v>
      </c>
      <c r="BF2625" s="93">
        <f t="shared" si="648"/>
        <v>0</v>
      </c>
      <c r="BH2625" s="93">
        <f t="shared" si="649"/>
        <v>0</v>
      </c>
      <c r="BI2625" s="93">
        <f t="shared" si="650"/>
        <v>0</v>
      </c>
      <c r="BJ2625" s="93">
        <f t="shared" si="651"/>
        <v>0</v>
      </c>
      <c r="BK2625" s="93"/>
      <c r="BL2625" s="93"/>
      <c r="BW2625" s="93" t="str">
        <f t="shared" si="652"/>
        <v>21</v>
      </c>
      <c r="BX2625" s="2" t="s">
        <v>3747</v>
      </c>
    </row>
    <row r="2626" spans="1:76" s="81" customFormat="1" ht="25.5" x14ac:dyDescent="0.25">
      <c r="A2626" s="66" t="s">
        <v>3766</v>
      </c>
      <c r="B2626" s="72" t="s">
        <v>55</v>
      </c>
      <c r="C2626" s="72" t="s">
        <v>3749</v>
      </c>
      <c r="D2626" s="174" t="s">
        <v>3750</v>
      </c>
      <c r="E2626" s="174"/>
      <c r="F2626" s="72" t="s">
        <v>3514</v>
      </c>
      <c r="G2626" s="90">
        <v>3</v>
      </c>
      <c r="H2626" s="91"/>
      <c r="I2626" s="92" t="s">
        <v>63</v>
      </c>
      <c r="J2626" s="90">
        <f t="shared" si="625"/>
        <v>0</v>
      </c>
      <c r="K2626" s="90">
        <f t="shared" si="626"/>
        <v>0</v>
      </c>
      <c r="L2626" s="90">
        <f t="shared" si="627"/>
        <v>0</v>
      </c>
      <c r="M2626" s="90">
        <f t="shared" si="628"/>
        <v>0</v>
      </c>
      <c r="N2626" s="90">
        <v>0</v>
      </c>
      <c r="O2626" s="90">
        <f t="shared" si="629"/>
        <v>0</v>
      </c>
      <c r="P2626" s="92" t="s">
        <v>1647</v>
      </c>
      <c r="Z2626" s="93">
        <f t="shared" si="630"/>
        <v>0</v>
      </c>
      <c r="AB2626" s="93">
        <f t="shared" si="631"/>
        <v>0</v>
      </c>
      <c r="AC2626" s="93">
        <f t="shared" si="632"/>
        <v>0</v>
      </c>
      <c r="AD2626" s="93">
        <f t="shared" si="633"/>
        <v>0</v>
      </c>
      <c r="AE2626" s="93">
        <f t="shared" si="634"/>
        <v>0</v>
      </c>
      <c r="AF2626" s="93">
        <f t="shared" si="635"/>
        <v>0</v>
      </c>
      <c r="AG2626" s="93">
        <f t="shared" si="636"/>
        <v>0</v>
      </c>
      <c r="AH2626" s="93">
        <f t="shared" si="637"/>
        <v>0</v>
      </c>
      <c r="AI2626" s="88" t="s">
        <v>55</v>
      </c>
      <c r="AJ2626" s="93">
        <f t="shared" si="638"/>
        <v>0</v>
      </c>
      <c r="AK2626" s="93">
        <f t="shared" si="639"/>
        <v>0</v>
      </c>
      <c r="AL2626" s="93">
        <f t="shared" si="640"/>
        <v>0</v>
      </c>
      <c r="AN2626" s="93">
        <v>21</v>
      </c>
      <c r="AO2626" s="93">
        <f t="shared" si="641"/>
        <v>0</v>
      </c>
      <c r="AP2626" s="93">
        <f t="shared" si="642"/>
        <v>0</v>
      </c>
      <c r="AQ2626" s="94" t="s">
        <v>118</v>
      </c>
      <c r="AV2626" s="93">
        <f t="shared" si="643"/>
        <v>0</v>
      </c>
      <c r="AW2626" s="93">
        <f t="shared" si="644"/>
        <v>0</v>
      </c>
      <c r="AX2626" s="93">
        <f t="shared" si="645"/>
        <v>0</v>
      </c>
      <c r="AY2626" s="94" t="s">
        <v>3494</v>
      </c>
      <c r="AZ2626" s="94" t="s">
        <v>3495</v>
      </c>
      <c r="BA2626" s="88" t="s">
        <v>67</v>
      </c>
      <c r="BC2626" s="93">
        <f t="shared" si="646"/>
        <v>0</v>
      </c>
      <c r="BD2626" s="93">
        <f t="shared" si="647"/>
        <v>0</v>
      </c>
      <c r="BE2626" s="93">
        <v>0</v>
      </c>
      <c r="BF2626" s="93">
        <f t="shared" si="648"/>
        <v>0</v>
      </c>
      <c r="BH2626" s="93">
        <f t="shared" si="649"/>
        <v>0</v>
      </c>
      <c r="BI2626" s="93">
        <f t="shared" si="650"/>
        <v>0</v>
      </c>
      <c r="BJ2626" s="93">
        <f t="shared" si="651"/>
        <v>0</v>
      </c>
      <c r="BK2626" s="93"/>
      <c r="BL2626" s="93"/>
      <c r="BW2626" s="93" t="str">
        <f t="shared" si="652"/>
        <v>21</v>
      </c>
      <c r="BX2626" s="2" t="s">
        <v>3750</v>
      </c>
    </row>
    <row r="2627" spans="1:76" s="81" customFormat="1" ht="25.5" x14ac:dyDescent="0.25">
      <c r="A2627" s="66" t="s">
        <v>3769</v>
      </c>
      <c r="B2627" s="72" t="s">
        <v>55</v>
      </c>
      <c r="C2627" s="72" t="s">
        <v>3752</v>
      </c>
      <c r="D2627" s="174" t="s">
        <v>3753</v>
      </c>
      <c r="E2627" s="174"/>
      <c r="F2627" s="72" t="s">
        <v>3514</v>
      </c>
      <c r="G2627" s="90">
        <v>3</v>
      </c>
      <c r="H2627" s="91"/>
      <c r="I2627" s="92" t="s">
        <v>63</v>
      </c>
      <c r="J2627" s="90">
        <f t="shared" si="625"/>
        <v>0</v>
      </c>
      <c r="K2627" s="90">
        <f t="shared" si="626"/>
        <v>0</v>
      </c>
      <c r="L2627" s="90">
        <f t="shared" si="627"/>
        <v>0</v>
      </c>
      <c r="M2627" s="90">
        <f t="shared" si="628"/>
        <v>0</v>
      </c>
      <c r="N2627" s="90">
        <v>0</v>
      </c>
      <c r="O2627" s="90">
        <f t="shared" si="629"/>
        <v>0</v>
      </c>
      <c r="P2627" s="92" t="s">
        <v>1647</v>
      </c>
      <c r="Z2627" s="93">
        <f t="shared" si="630"/>
        <v>0</v>
      </c>
      <c r="AB2627" s="93">
        <f t="shared" si="631"/>
        <v>0</v>
      </c>
      <c r="AC2627" s="93">
        <f t="shared" si="632"/>
        <v>0</v>
      </c>
      <c r="AD2627" s="93">
        <f t="shared" si="633"/>
        <v>0</v>
      </c>
      <c r="AE2627" s="93">
        <f t="shared" si="634"/>
        <v>0</v>
      </c>
      <c r="AF2627" s="93">
        <f t="shared" si="635"/>
        <v>0</v>
      </c>
      <c r="AG2627" s="93">
        <f t="shared" si="636"/>
        <v>0</v>
      </c>
      <c r="AH2627" s="93">
        <f t="shared" si="637"/>
        <v>0</v>
      </c>
      <c r="AI2627" s="88" t="s">
        <v>55</v>
      </c>
      <c r="AJ2627" s="93">
        <f t="shared" si="638"/>
        <v>0</v>
      </c>
      <c r="AK2627" s="93">
        <f t="shared" si="639"/>
        <v>0</v>
      </c>
      <c r="AL2627" s="93">
        <f t="shared" si="640"/>
        <v>0</v>
      </c>
      <c r="AN2627" s="93">
        <v>21</v>
      </c>
      <c r="AO2627" s="93">
        <f t="shared" si="641"/>
        <v>0</v>
      </c>
      <c r="AP2627" s="93">
        <f t="shared" si="642"/>
        <v>0</v>
      </c>
      <c r="AQ2627" s="94" t="s">
        <v>118</v>
      </c>
      <c r="AV2627" s="93">
        <f t="shared" si="643"/>
        <v>0</v>
      </c>
      <c r="AW2627" s="93">
        <f t="shared" si="644"/>
        <v>0</v>
      </c>
      <c r="AX2627" s="93">
        <f t="shared" si="645"/>
        <v>0</v>
      </c>
      <c r="AY2627" s="94" t="s">
        <v>3494</v>
      </c>
      <c r="AZ2627" s="94" t="s">
        <v>3495</v>
      </c>
      <c r="BA2627" s="88" t="s">
        <v>67</v>
      </c>
      <c r="BC2627" s="93">
        <f t="shared" si="646"/>
        <v>0</v>
      </c>
      <c r="BD2627" s="93">
        <f t="shared" si="647"/>
        <v>0</v>
      </c>
      <c r="BE2627" s="93">
        <v>0</v>
      </c>
      <c r="BF2627" s="93">
        <f t="shared" si="648"/>
        <v>0</v>
      </c>
      <c r="BH2627" s="93">
        <f t="shared" si="649"/>
        <v>0</v>
      </c>
      <c r="BI2627" s="93">
        <f t="shared" si="650"/>
        <v>0</v>
      </c>
      <c r="BJ2627" s="93">
        <f t="shared" si="651"/>
        <v>0</v>
      </c>
      <c r="BK2627" s="93"/>
      <c r="BL2627" s="93"/>
      <c r="BW2627" s="93" t="str">
        <f t="shared" si="652"/>
        <v>21</v>
      </c>
      <c r="BX2627" s="2" t="s">
        <v>3753</v>
      </c>
    </row>
    <row r="2628" spans="1:76" s="81" customFormat="1" ht="25.5" x14ac:dyDescent="0.25">
      <c r="A2628" s="66" t="s">
        <v>3772</v>
      </c>
      <c r="B2628" s="72" t="s">
        <v>55</v>
      </c>
      <c r="C2628" s="72" t="s">
        <v>3755</v>
      </c>
      <c r="D2628" s="174" t="s">
        <v>3756</v>
      </c>
      <c r="E2628" s="174"/>
      <c r="F2628" s="72" t="s">
        <v>3514</v>
      </c>
      <c r="G2628" s="90">
        <v>116</v>
      </c>
      <c r="H2628" s="91"/>
      <c r="I2628" s="92" t="s">
        <v>63</v>
      </c>
      <c r="J2628" s="90">
        <f t="shared" si="625"/>
        <v>0</v>
      </c>
      <c r="K2628" s="90">
        <f t="shared" si="626"/>
        <v>0</v>
      </c>
      <c r="L2628" s="90">
        <f t="shared" si="627"/>
        <v>0</v>
      </c>
      <c r="M2628" s="90">
        <f t="shared" si="628"/>
        <v>0</v>
      </c>
      <c r="N2628" s="90">
        <v>0</v>
      </c>
      <c r="O2628" s="90">
        <f t="shared" si="629"/>
        <v>0</v>
      </c>
      <c r="P2628" s="92" t="s">
        <v>1647</v>
      </c>
      <c r="Z2628" s="93">
        <f t="shared" si="630"/>
        <v>0</v>
      </c>
      <c r="AB2628" s="93">
        <f t="shared" si="631"/>
        <v>0</v>
      </c>
      <c r="AC2628" s="93">
        <f t="shared" si="632"/>
        <v>0</v>
      </c>
      <c r="AD2628" s="93">
        <f t="shared" si="633"/>
        <v>0</v>
      </c>
      <c r="AE2628" s="93">
        <f t="shared" si="634"/>
        <v>0</v>
      </c>
      <c r="AF2628" s="93">
        <f t="shared" si="635"/>
        <v>0</v>
      </c>
      <c r="AG2628" s="93">
        <f t="shared" si="636"/>
        <v>0</v>
      </c>
      <c r="AH2628" s="93">
        <f t="shared" si="637"/>
        <v>0</v>
      </c>
      <c r="AI2628" s="88" t="s">
        <v>55</v>
      </c>
      <c r="AJ2628" s="93">
        <f t="shared" si="638"/>
        <v>0</v>
      </c>
      <c r="AK2628" s="93">
        <f t="shared" si="639"/>
        <v>0</v>
      </c>
      <c r="AL2628" s="93">
        <f t="shared" si="640"/>
        <v>0</v>
      </c>
      <c r="AN2628" s="93">
        <v>21</v>
      </c>
      <c r="AO2628" s="93">
        <f t="shared" si="641"/>
        <v>0</v>
      </c>
      <c r="AP2628" s="93">
        <f t="shared" si="642"/>
        <v>0</v>
      </c>
      <c r="AQ2628" s="94" t="s">
        <v>118</v>
      </c>
      <c r="AV2628" s="93">
        <f t="shared" si="643"/>
        <v>0</v>
      </c>
      <c r="AW2628" s="93">
        <f t="shared" si="644"/>
        <v>0</v>
      </c>
      <c r="AX2628" s="93">
        <f t="shared" si="645"/>
        <v>0</v>
      </c>
      <c r="AY2628" s="94" t="s">
        <v>3494</v>
      </c>
      <c r="AZ2628" s="94" t="s">
        <v>3495</v>
      </c>
      <c r="BA2628" s="88" t="s">
        <v>67</v>
      </c>
      <c r="BC2628" s="93">
        <f t="shared" si="646"/>
        <v>0</v>
      </c>
      <c r="BD2628" s="93">
        <f t="shared" si="647"/>
        <v>0</v>
      </c>
      <c r="BE2628" s="93">
        <v>0</v>
      </c>
      <c r="BF2628" s="93">
        <f t="shared" si="648"/>
        <v>0</v>
      </c>
      <c r="BH2628" s="93">
        <f t="shared" si="649"/>
        <v>0</v>
      </c>
      <c r="BI2628" s="93">
        <f t="shared" si="650"/>
        <v>0</v>
      </c>
      <c r="BJ2628" s="93">
        <f t="shared" si="651"/>
        <v>0</v>
      </c>
      <c r="BK2628" s="93"/>
      <c r="BL2628" s="93"/>
      <c r="BW2628" s="93" t="str">
        <f t="shared" si="652"/>
        <v>21</v>
      </c>
      <c r="BX2628" s="2" t="s">
        <v>3756</v>
      </c>
    </row>
    <row r="2629" spans="1:76" s="81" customFormat="1" ht="25.5" x14ac:dyDescent="0.25">
      <c r="A2629" s="66" t="s">
        <v>3775</v>
      </c>
      <c r="B2629" s="72" t="s">
        <v>55</v>
      </c>
      <c r="C2629" s="72" t="s">
        <v>3758</v>
      </c>
      <c r="D2629" s="174" t="s">
        <v>3759</v>
      </c>
      <c r="E2629" s="174"/>
      <c r="F2629" s="72" t="s">
        <v>3514</v>
      </c>
      <c r="G2629" s="90">
        <v>10</v>
      </c>
      <c r="H2629" s="91"/>
      <c r="I2629" s="92" t="s">
        <v>63</v>
      </c>
      <c r="J2629" s="90">
        <f t="shared" si="625"/>
        <v>0</v>
      </c>
      <c r="K2629" s="90">
        <f t="shared" si="626"/>
        <v>0</v>
      </c>
      <c r="L2629" s="90">
        <f t="shared" si="627"/>
        <v>0</v>
      </c>
      <c r="M2629" s="90">
        <f t="shared" si="628"/>
        <v>0</v>
      </c>
      <c r="N2629" s="90">
        <v>0</v>
      </c>
      <c r="O2629" s="90">
        <f t="shared" si="629"/>
        <v>0</v>
      </c>
      <c r="P2629" s="92" t="s">
        <v>1647</v>
      </c>
      <c r="Z2629" s="93">
        <f t="shared" si="630"/>
        <v>0</v>
      </c>
      <c r="AB2629" s="93">
        <f t="shared" si="631"/>
        <v>0</v>
      </c>
      <c r="AC2629" s="93">
        <f t="shared" si="632"/>
        <v>0</v>
      </c>
      <c r="AD2629" s="93">
        <f t="shared" si="633"/>
        <v>0</v>
      </c>
      <c r="AE2629" s="93">
        <f t="shared" si="634"/>
        <v>0</v>
      </c>
      <c r="AF2629" s="93">
        <f t="shared" si="635"/>
        <v>0</v>
      </c>
      <c r="AG2629" s="93">
        <f t="shared" si="636"/>
        <v>0</v>
      </c>
      <c r="AH2629" s="93">
        <f t="shared" si="637"/>
        <v>0</v>
      </c>
      <c r="AI2629" s="88" t="s">
        <v>55</v>
      </c>
      <c r="AJ2629" s="93">
        <f t="shared" si="638"/>
        <v>0</v>
      </c>
      <c r="AK2629" s="93">
        <f t="shared" si="639"/>
        <v>0</v>
      </c>
      <c r="AL2629" s="93">
        <f t="shared" si="640"/>
        <v>0</v>
      </c>
      <c r="AN2629" s="93">
        <v>21</v>
      </c>
      <c r="AO2629" s="93">
        <f t="shared" si="641"/>
        <v>0</v>
      </c>
      <c r="AP2629" s="93">
        <f t="shared" si="642"/>
        <v>0</v>
      </c>
      <c r="AQ2629" s="94" t="s">
        <v>118</v>
      </c>
      <c r="AV2629" s="93">
        <f t="shared" si="643"/>
        <v>0</v>
      </c>
      <c r="AW2629" s="93">
        <f t="shared" si="644"/>
        <v>0</v>
      </c>
      <c r="AX2629" s="93">
        <f t="shared" si="645"/>
        <v>0</v>
      </c>
      <c r="AY2629" s="94" t="s">
        <v>3494</v>
      </c>
      <c r="AZ2629" s="94" t="s">
        <v>3495</v>
      </c>
      <c r="BA2629" s="88" t="s">
        <v>67</v>
      </c>
      <c r="BC2629" s="93">
        <f t="shared" si="646"/>
        <v>0</v>
      </c>
      <c r="BD2629" s="93">
        <f t="shared" si="647"/>
        <v>0</v>
      </c>
      <c r="BE2629" s="93">
        <v>0</v>
      </c>
      <c r="BF2629" s="93">
        <f t="shared" si="648"/>
        <v>0</v>
      </c>
      <c r="BH2629" s="93">
        <f t="shared" si="649"/>
        <v>0</v>
      </c>
      <c r="BI2629" s="93">
        <f t="shared" si="650"/>
        <v>0</v>
      </c>
      <c r="BJ2629" s="93">
        <f t="shared" si="651"/>
        <v>0</v>
      </c>
      <c r="BK2629" s="93"/>
      <c r="BL2629" s="93"/>
      <c r="BW2629" s="93" t="str">
        <f t="shared" si="652"/>
        <v>21</v>
      </c>
      <c r="BX2629" s="2" t="s">
        <v>3759</v>
      </c>
    </row>
    <row r="2630" spans="1:76" s="81" customFormat="1" ht="25.5" x14ac:dyDescent="0.25">
      <c r="A2630" s="66" t="s">
        <v>3778</v>
      </c>
      <c r="B2630" s="72" t="s">
        <v>55</v>
      </c>
      <c r="C2630" s="72" t="s">
        <v>3761</v>
      </c>
      <c r="D2630" s="174" t="s">
        <v>3762</v>
      </c>
      <c r="E2630" s="174"/>
      <c r="F2630" s="72" t="s">
        <v>3514</v>
      </c>
      <c r="G2630" s="90">
        <v>250</v>
      </c>
      <c r="H2630" s="91"/>
      <c r="I2630" s="92" t="s">
        <v>63</v>
      </c>
      <c r="J2630" s="90">
        <f t="shared" si="625"/>
        <v>0</v>
      </c>
      <c r="K2630" s="90">
        <f t="shared" si="626"/>
        <v>0</v>
      </c>
      <c r="L2630" s="90">
        <f t="shared" si="627"/>
        <v>0</v>
      </c>
      <c r="M2630" s="90">
        <f t="shared" si="628"/>
        <v>0</v>
      </c>
      <c r="N2630" s="90">
        <v>0</v>
      </c>
      <c r="O2630" s="90">
        <f t="shared" si="629"/>
        <v>0</v>
      </c>
      <c r="P2630" s="92" t="s">
        <v>1647</v>
      </c>
      <c r="Z2630" s="93">
        <f t="shared" si="630"/>
        <v>0</v>
      </c>
      <c r="AB2630" s="93">
        <f t="shared" si="631"/>
        <v>0</v>
      </c>
      <c r="AC2630" s="93">
        <f t="shared" si="632"/>
        <v>0</v>
      </c>
      <c r="AD2630" s="93">
        <f t="shared" si="633"/>
        <v>0</v>
      </c>
      <c r="AE2630" s="93">
        <f t="shared" si="634"/>
        <v>0</v>
      </c>
      <c r="AF2630" s="93">
        <f t="shared" si="635"/>
        <v>0</v>
      </c>
      <c r="AG2630" s="93">
        <f t="shared" si="636"/>
        <v>0</v>
      </c>
      <c r="AH2630" s="93">
        <f t="shared" si="637"/>
        <v>0</v>
      </c>
      <c r="AI2630" s="88" t="s">
        <v>55</v>
      </c>
      <c r="AJ2630" s="93">
        <f t="shared" si="638"/>
        <v>0</v>
      </c>
      <c r="AK2630" s="93">
        <f t="shared" si="639"/>
        <v>0</v>
      </c>
      <c r="AL2630" s="93">
        <f t="shared" si="640"/>
        <v>0</v>
      </c>
      <c r="AN2630" s="93">
        <v>21</v>
      </c>
      <c r="AO2630" s="93">
        <f t="shared" si="641"/>
        <v>0</v>
      </c>
      <c r="AP2630" s="93">
        <f t="shared" si="642"/>
        <v>0</v>
      </c>
      <c r="AQ2630" s="94" t="s">
        <v>118</v>
      </c>
      <c r="AV2630" s="93">
        <f t="shared" si="643"/>
        <v>0</v>
      </c>
      <c r="AW2630" s="93">
        <f t="shared" si="644"/>
        <v>0</v>
      </c>
      <c r="AX2630" s="93">
        <f t="shared" si="645"/>
        <v>0</v>
      </c>
      <c r="AY2630" s="94" t="s">
        <v>3494</v>
      </c>
      <c r="AZ2630" s="94" t="s">
        <v>3495</v>
      </c>
      <c r="BA2630" s="88" t="s">
        <v>67</v>
      </c>
      <c r="BC2630" s="93">
        <f t="shared" si="646"/>
        <v>0</v>
      </c>
      <c r="BD2630" s="93">
        <f t="shared" si="647"/>
        <v>0</v>
      </c>
      <c r="BE2630" s="93">
        <v>0</v>
      </c>
      <c r="BF2630" s="93">
        <f t="shared" si="648"/>
        <v>0</v>
      </c>
      <c r="BH2630" s="93">
        <f t="shared" si="649"/>
        <v>0</v>
      </c>
      <c r="BI2630" s="93">
        <f t="shared" si="650"/>
        <v>0</v>
      </c>
      <c r="BJ2630" s="93">
        <f t="shared" si="651"/>
        <v>0</v>
      </c>
      <c r="BK2630" s="93"/>
      <c r="BL2630" s="93"/>
      <c r="BW2630" s="93" t="str">
        <f t="shared" si="652"/>
        <v>21</v>
      </c>
      <c r="BX2630" s="2" t="s">
        <v>3762</v>
      </c>
    </row>
    <row r="2631" spans="1:76" s="81" customFormat="1" ht="25.5" x14ac:dyDescent="0.25">
      <c r="A2631" s="66" t="s">
        <v>3781</v>
      </c>
      <c r="B2631" s="72" t="s">
        <v>55</v>
      </c>
      <c r="C2631" s="72" t="s">
        <v>3764</v>
      </c>
      <c r="D2631" s="174" t="s">
        <v>3765</v>
      </c>
      <c r="E2631" s="174"/>
      <c r="F2631" s="72" t="s">
        <v>3514</v>
      </c>
      <c r="G2631" s="90">
        <v>38</v>
      </c>
      <c r="H2631" s="91"/>
      <c r="I2631" s="92" t="s">
        <v>63</v>
      </c>
      <c r="J2631" s="90">
        <f t="shared" si="625"/>
        <v>0</v>
      </c>
      <c r="K2631" s="90">
        <f t="shared" si="626"/>
        <v>0</v>
      </c>
      <c r="L2631" s="90">
        <f t="shared" si="627"/>
        <v>0</v>
      </c>
      <c r="M2631" s="90">
        <f t="shared" si="628"/>
        <v>0</v>
      </c>
      <c r="N2631" s="90">
        <v>0</v>
      </c>
      <c r="O2631" s="90">
        <f t="shared" si="629"/>
        <v>0</v>
      </c>
      <c r="P2631" s="92" t="s">
        <v>1647</v>
      </c>
      <c r="Z2631" s="93">
        <f t="shared" si="630"/>
        <v>0</v>
      </c>
      <c r="AB2631" s="93">
        <f t="shared" si="631"/>
        <v>0</v>
      </c>
      <c r="AC2631" s="93">
        <f t="shared" si="632"/>
        <v>0</v>
      </c>
      <c r="AD2631" s="93">
        <f t="shared" si="633"/>
        <v>0</v>
      </c>
      <c r="AE2631" s="93">
        <f t="shared" si="634"/>
        <v>0</v>
      </c>
      <c r="AF2631" s="93">
        <f t="shared" si="635"/>
        <v>0</v>
      </c>
      <c r="AG2631" s="93">
        <f t="shared" si="636"/>
        <v>0</v>
      </c>
      <c r="AH2631" s="93">
        <f t="shared" si="637"/>
        <v>0</v>
      </c>
      <c r="AI2631" s="88" t="s">
        <v>55</v>
      </c>
      <c r="AJ2631" s="93">
        <f t="shared" si="638"/>
        <v>0</v>
      </c>
      <c r="AK2631" s="93">
        <f t="shared" si="639"/>
        <v>0</v>
      </c>
      <c r="AL2631" s="93">
        <f t="shared" si="640"/>
        <v>0</v>
      </c>
      <c r="AN2631" s="93">
        <v>21</v>
      </c>
      <c r="AO2631" s="93">
        <f t="shared" si="641"/>
        <v>0</v>
      </c>
      <c r="AP2631" s="93">
        <f t="shared" si="642"/>
        <v>0</v>
      </c>
      <c r="AQ2631" s="94" t="s">
        <v>118</v>
      </c>
      <c r="AV2631" s="93">
        <f t="shared" si="643"/>
        <v>0</v>
      </c>
      <c r="AW2631" s="93">
        <f t="shared" si="644"/>
        <v>0</v>
      </c>
      <c r="AX2631" s="93">
        <f t="shared" si="645"/>
        <v>0</v>
      </c>
      <c r="AY2631" s="94" t="s">
        <v>3494</v>
      </c>
      <c r="AZ2631" s="94" t="s">
        <v>3495</v>
      </c>
      <c r="BA2631" s="88" t="s">
        <v>67</v>
      </c>
      <c r="BC2631" s="93">
        <f t="shared" si="646"/>
        <v>0</v>
      </c>
      <c r="BD2631" s="93">
        <f t="shared" si="647"/>
        <v>0</v>
      </c>
      <c r="BE2631" s="93">
        <v>0</v>
      </c>
      <c r="BF2631" s="93">
        <f t="shared" si="648"/>
        <v>0</v>
      </c>
      <c r="BH2631" s="93">
        <f t="shared" si="649"/>
        <v>0</v>
      </c>
      <c r="BI2631" s="93">
        <f t="shared" si="650"/>
        <v>0</v>
      </c>
      <c r="BJ2631" s="93">
        <f t="shared" si="651"/>
        <v>0</v>
      </c>
      <c r="BK2631" s="93"/>
      <c r="BL2631" s="93"/>
      <c r="BW2631" s="93" t="str">
        <f t="shared" si="652"/>
        <v>21</v>
      </c>
      <c r="BX2631" s="2" t="s">
        <v>3765</v>
      </c>
    </row>
    <row r="2632" spans="1:76" s="81" customFormat="1" ht="25.5" x14ac:dyDescent="0.25">
      <c r="A2632" s="66" t="s">
        <v>3784</v>
      </c>
      <c r="B2632" s="72" t="s">
        <v>55</v>
      </c>
      <c r="C2632" s="72" t="s">
        <v>3767</v>
      </c>
      <c r="D2632" s="174" t="s">
        <v>3768</v>
      </c>
      <c r="E2632" s="174"/>
      <c r="F2632" s="72" t="s">
        <v>3514</v>
      </c>
      <c r="G2632" s="90">
        <v>11</v>
      </c>
      <c r="H2632" s="91"/>
      <c r="I2632" s="92" t="s">
        <v>63</v>
      </c>
      <c r="J2632" s="90">
        <f t="shared" si="625"/>
        <v>0</v>
      </c>
      <c r="K2632" s="90">
        <f t="shared" si="626"/>
        <v>0</v>
      </c>
      <c r="L2632" s="90">
        <f t="shared" si="627"/>
        <v>0</v>
      </c>
      <c r="M2632" s="90">
        <f t="shared" si="628"/>
        <v>0</v>
      </c>
      <c r="N2632" s="90">
        <v>0</v>
      </c>
      <c r="O2632" s="90">
        <f t="shared" si="629"/>
        <v>0</v>
      </c>
      <c r="P2632" s="92" t="s">
        <v>1647</v>
      </c>
      <c r="Z2632" s="93">
        <f t="shared" si="630"/>
        <v>0</v>
      </c>
      <c r="AB2632" s="93">
        <f t="shared" si="631"/>
        <v>0</v>
      </c>
      <c r="AC2632" s="93">
        <f t="shared" si="632"/>
        <v>0</v>
      </c>
      <c r="AD2632" s="93">
        <f t="shared" si="633"/>
        <v>0</v>
      </c>
      <c r="AE2632" s="93">
        <f t="shared" si="634"/>
        <v>0</v>
      </c>
      <c r="AF2632" s="93">
        <f t="shared" si="635"/>
        <v>0</v>
      </c>
      <c r="AG2632" s="93">
        <f t="shared" si="636"/>
        <v>0</v>
      </c>
      <c r="AH2632" s="93">
        <f t="shared" si="637"/>
        <v>0</v>
      </c>
      <c r="AI2632" s="88" t="s">
        <v>55</v>
      </c>
      <c r="AJ2632" s="93">
        <f t="shared" si="638"/>
        <v>0</v>
      </c>
      <c r="AK2632" s="93">
        <f t="shared" si="639"/>
        <v>0</v>
      </c>
      <c r="AL2632" s="93">
        <f t="shared" si="640"/>
        <v>0</v>
      </c>
      <c r="AN2632" s="93">
        <v>21</v>
      </c>
      <c r="AO2632" s="93">
        <f t="shared" si="641"/>
        <v>0</v>
      </c>
      <c r="AP2632" s="93">
        <f t="shared" si="642"/>
        <v>0</v>
      </c>
      <c r="AQ2632" s="94" t="s">
        <v>118</v>
      </c>
      <c r="AV2632" s="93">
        <f t="shared" si="643"/>
        <v>0</v>
      </c>
      <c r="AW2632" s="93">
        <f t="shared" si="644"/>
        <v>0</v>
      </c>
      <c r="AX2632" s="93">
        <f t="shared" si="645"/>
        <v>0</v>
      </c>
      <c r="AY2632" s="94" t="s">
        <v>3494</v>
      </c>
      <c r="AZ2632" s="94" t="s">
        <v>3495</v>
      </c>
      <c r="BA2632" s="88" t="s">
        <v>67</v>
      </c>
      <c r="BC2632" s="93">
        <f t="shared" si="646"/>
        <v>0</v>
      </c>
      <c r="BD2632" s="93">
        <f t="shared" si="647"/>
        <v>0</v>
      </c>
      <c r="BE2632" s="93">
        <v>0</v>
      </c>
      <c r="BF2632" s="93">
        <f t="shared" si="648"/>
        <v>0</v>
      </c>
      <c r="BH2632" s="93">
        <f t="shared" si="649"/>
        <v>0</v>
      </c>
      <c r="BI2632" s="93">
        <f t="shared" si="650"/>
        <v>0</v>
      </c>
      <c r="BJ2632" s="93">
        <f t="shared" si="651"/>
        <v>0</v>
      </c>
      <c r="BK2632" s="93"/>
      <c r="BL2632" s="93"/>
      <c r="BW2632" s="93" t="str">
        <f t="shared" si="652"/>
        <v>21</v>
      </c>
      <c r="BX2632" s="2" t="s">
        <v>3768</v>
      </c>
    </row>
    <row r="2633" spans="1:76" s="81" customFormat="1" ht="25.5" x14ac:dyDescent="0.25">
      <c r="A2633" s="66" t="s">
        <v>3787</v>
      </c>
      <c r="B2633" s="72" t="s">
        <v>55</v>
      </c>
      <c r="C2633" s="72" t="s">
        <v>3770</v>
      </c>
      <c r="D2633" s="174" t="s">
        <v>3771</v>
      </c>
      <c r="E2633" s="174"/>
      <c r="F2633" s="72" t="s">
        <v>3514</v>
      </c>
      <c r="G2633" s="90">
        <v>11</v>
      </c>
      <c r="H2633" s="91"/>
      <c r="I2633" s="92" t="s">
        <v>63</v>
      </c>
      <c r="J2633" s="90">
        <f t="shared" si="625"/>
        <v>0</v>
      </c>
      <c r="K2633" s="90">
        <f t="shared" si="626"/>
        <v>0</v>
      </c>
      <c r="L2633" s="90">
        <f t="shared" si="627"/>
        <v>0</v>
      </c>
      <c r="M2633" s="90">
        <f t="shared" si="628"/>
        <v>0</v>
      </c>
      <c r="N2633" s="90">
        <v>0</v>
      </c>
      <c r="O2633" s="90">
        <f t="shared" si="629"/>
        <v>0</v>
      </c>
      <c r="P2633" s="92" t="s">
        <v>1647</v>
      </c>
      <c r="Z2633" s="93">
        <f t="shared" si="630"/>
        <v>0</v>
      </c>
      <c r="AB2633" s="93">
        <f t="shared" si="631"/>
        <v>0</v>
      </c>
      <c r="AC2633" s="93">
        <f t="shared" si="632"/>
        <v>0</v>
      </c>
      <c r="AD2633" s="93">
        <f t="shared" si="633"/>
        <v>0</v>
      </c>
      <c r="AE2633" s="93">
        <f t="shared" si="634"/>
        <v>0</v>
      </c>
      <c r="AF2633" s="93">
        <f t="shared" si="635"/>
        <v>0</v>
      </c>
      <c r="AG2633" s="93">
        <f t="shared" si="636"/>
        <v>0</v>
      </c>
      <c r="AH2633" s="93">
        <f t="shared" si="637"/>
        <v>0</v>
      </c>
      <c r="AI2633" s="88" t="s">
        <v>55</v>
      </c>
      <c r="AJ2633" s="93">
        <f t="shared" si="638"/>
        <v>0</v>
      </c>
      <c r="AK2633" s="93">
        <f t="shared" si="639"/>
        <v>0</v>
      </c>
      <c r="AL2633" s="93">
        <f t="shared" si="640"/>
        <v>0</v>
      </c>
      <c r="AN2633" s="93">
        <v>21</v>
      </c>
      <c r="AO2633" s="93">
        <f t="shared" si="641"/>
        <v>0</v>
      </c>
      <c r="AP2633" s="93">
        <f t="shared" si="642"/>
        <v>0</v>
      </c>
      <c r="AQ2633" s="94" t="s">
        <v>118</v>
      </c>
      <c r="AV2633" s="93">
        <f t="shared" si="643"/>
        <v>0</v>
      </c>
      <c r="AW2633" s="93">
        <f t="shared" si="644"/>
        <v>0</v>
      </c>
      <c r="AX2633" s="93">
        <f t="shared" si="645"/>
        <v>0</v>
      </c>
      <c r="AY2633" s="94" t="s">
        <v>3494</v>
      </c>
      <c r="AZ2633" s="94" t="s">
        <v>3495</v>
      </c>
      <c r="BA2633" s="88" t="s">
        <v>67</v>
      </c>
      <c r="BC2633" s="93">
        <f t="shared" si="646"/>
        <v>0</v>
      </c>
      <c r="BD2633" s="93">
        <f t="shared" si="647"/>
        <v>0</v>
      </c>
      <c r="BE2633" s="93">
        <v>0</v>
      </c>
      <c r="BF2633" s="93">
        <f t="shared" si="648"/>
        <v>0</v>
      </c>
      <c r="BH2633" s="93">
        <f t="shared" si="649"/>
        <v>0</v>
      </c>
      <c r="BI2633" s="93">
        <f t="shared" si="650"/>
        <v>0</v>
      </c>
      <c r="BJ2633" s="93">
        <f t="shared" si="651"/>
        <v>0</v>
      </c>
      <c r="BK2633" s="93"/>
      <c r="BL2633" s="93"/>
      <c r="BW2633" s="93" t="str">
        <f t="shared" si="652"/>
        <v>21</v>
      </c>
      <c r="BX2633" s="2" t="s">
        <v>3771</v>
      </c>
    </row>
    <row r="2634" spans="1:76" s="81" customFormat="1" ht="25.5" x14ac:dyDescent="0.25">
      <c r="A2634" s="66" t="s">
        <v>3790</v>
      </c>
      <c r="B2634" s="72" t="s">
        <v>55</v>
      </c>
      <c r="C2634" s="72" t="s">
        <v>3773</v>
      </c>
      <c r="D2634" s="174" t="s">
        <v>3774</v>
      </c>
      <c r="E2634" s="174"/>
      <c r="F2634" s="72" t="s">
        <v>3514</v>
      </c>
      <c r="G2634" s="90">
        <v>1</v>
      </c>
      <c r="H2634" s="91"/>
      <c r="I2634" s="92" t="s">
        <v>63</v>
      </c>
      <c r="J2634" s="90">
        <f t="shared" ref="J2634:J2665" si="653">G2634*AO2634</f>
        <v>0</v>
      </c>
      <c r="K2634" s="90">
        <f t="shared" ref="K2634:K2665" si="654">G2634*AP2634</f>
        <v>0</v>
      </c>
      <c r="L2634" s="90">
        <f t="shared" ref="L2634:L2665" si="655">G2634*H2634</f>
        <v>0</v>
      </c>
      <c r="M2634" s="90">
        <f t="shared" ref="M2634:M2665" si="656">L2634*(1+BW2634/100)</f>
        <v>0</v>
      </c>
      <c r="N2634" s="90">
        <v>0</v>
      </c>
      <c r="O2634" s="90">
        <f t="shared" ref="O2634:O2665" si="657">G2634*N2634</f>
        <v>0</v>
      </c>
      <c r="P2634" s="92" t="s">
        <v>1647</v>
      </c>
      <c r="Z2634" s="93">
        <f t="shared" ref="Z2634:Z2665" si="658">IF(AQ2634="5",BJ2634,0)</f>
        <v>0</v>
      </c>
      <c r="AB2634" s="93">
        <f t="shared" ref="AB2634:AB2665" si="659">IF(AQ2634="1",BH2634,0)</f>
        <v>0</v>
      </c>
      <c r="AC2634" s="93">
        <f t="shared" ref="AC2634:AC2665" si="660">IF(AQ2634="1",BI2634,0)</f>
        <v>0</v>
      </c>
      <c r="AD2634" s="93">
        <f t="shared" ref="AD2634:AD2665" si="661">IF(AQ2634="7",BH2634,0)</f>
        <v>0</v>
      </c>
      <c r="AE2634" s="93">
        <f t="shared" ref="AE2634:AE2665" si="662">IF(AQ2634="7",BI2634,0)</f>
        <v>0</v>
      </c>
      <c r="AF2634" s="93">
        <f t="shared" ref="AF2634:AF2665" si="663">IF(AQ2634="2",BH2634,0)</f>
        <v>0</v>
      </c>
      <c r="AG2634" s="93">
        <f t="shared" ref="AG2634:AG2665" si="664">IF(AQ2634="2",BI2634,0)</f>
        <v>0</v>
      </c>
      <c r="AH2634" s="93">
        <f t="shared" ref="AH2634:AH2665" si="665">IF(AQ2634="0",BJ2634,0)</f>
        <v>0</v>
      </c>
      <c r="AI2634" s="88" t="s">
        <v>55</v>
      </c>
      <c r="AJ2634" s="93">
        <f t="shared" ref="AJ2634:AJ2665" si="666">IF(AN2634=0,L2634,0)</f>
        <v>0</v>
      </c>
      <c r="AK2634" s="93">
        <f t="shared" ref="AK2634:AK2665" si="667">IF(AN2634=12,L2634,0)</f>
        <v>0</v>
      </c>
      <c r="AL2634" s="93">
        <f t="shared" ref="AL2634:AL2665" si="668">IF(AN2634=21,L2634,0)</f>
        <v>0</v>
      </c>
      <c r="AN2634" s="93">
        <v>21</v>
      </c>
      <c r="AO2634" s="93">
        <f t="shared" ref="AO2634:AO2665" si="669">H2634*0</f>
        <v>0</v>
      </c>
      <c r="AP2634" s="93">
        <f t="shared" ref="AP2634:AP2665" si="670">H2634*(1-0)</f>
        <v>0</v>
      </c>
      <c r="AQ2634" s="94" t="s">
        <v>118</v>
      </c>
      <c r="AV2634" s="93">
        <f t="shared" ref="AV2634:AV2665" si="671">AW2634+AX2634</f>
        <v>0</v>
      </c>
      <c r="AW2634" s="93">
        <f t="shared" ref="AW2634:AW2665" si="672">G2634*AO2634</f>
        <v>0</v>
      </c>
      <c r="AX2634" s="93">
        <f t="shared" ref="AX2634:AX2665" si="673">G2634*AP2634</f>
        <v>0</v>
      </c>
      <c r="AY2634" s="94" t="s">
        <v>3494</v>
      </c>
      <c r="AZ2634" s="94" t="s">
        <v>3495</v>
      </c>
      <c r="BA2634" s="88" t="s">
        <v>67</v>
      </c>
      <c r="BC2634" s="93">
        <f t="shared" ref="BC2634:BC2665" si="674">AW2634+AX2634</f>
        <v>0</v>
      </c>
      <c r="BD2634" s="93">
        <f t="shared" ref="BD2634:BD2665" si="675">H2634/(100-BE2634)*100</f>
        <v>0</v>
      </c>
      <c r="BE2634" s="93">
        <v>0</v>
      </c>
      <c r="BF2634" s="93">
        <f t="shared" ref="BF2634:BF2665" si="676">O2634</f>
        <v>0</v>
      </c>
      <c r="BH2634" s="93">
        <f t="shared" ref="BH2634:BH2665" si="677">G2634*AO2634</f>
        <v>0</v>
      </c>
      <c r="BI2634" s="93">
        <f t="shared" ref="BI2634:BI2665" si="678">G2634*AP2634</f>
        <v>0</v>
      </c>
      <c r="BJ2634" s="93">
        <f t="shared" ref="BJ2634:BJ2665" si="679">G2634*H2634</f>
        <v>0</v>
      </c>
      <c r="BK2634" s="93"/>
      <c r="BL2634" s="93"/>
      <c r="BW2634" s="93" t="str">
        <f t="shared" ref="BW2634:BW2665" si="680">I2634</f>
        <v>21</v>
      </c>
      <c r="BX2634" s="2" t="s">
        <v>3774</v>
      </c>
    </row>
    <row r="2635" spans="1:76" s="81" customFormat="1" ht="25.5" x14ac:dyDescent="0.25">
      <c r="A2635" s="66" t="s">
        <v>3793</v>
      </c>
      <c r="B2635" s="72" t="s">
        <v>55</v>
      </c>
      <c r="C2635" s="72" t="s">
        <v>3776</v>
      </c>
      <c r="D2635" s="174" t="s">
        <v>3777</v>
      </c>
      <c r="E2635" s="174"/>
      <c r="F2635" s="72" t="s">
        <v>3514</v>
      </c>
      <c r="G2635" s="90">
        <v>1</v>
      </c>
      <c r="H2635" s="91"/>
      <c r="I2635" s="92" t="s">
        <v>63</v>
      </c>
      <c r="J2635" s="90">
        <f t="shared" si="653"/>
        <v>0</v>
      </c>
      <c r="K2635" s="90">
        <f t="shared" si="654"/>
        <v>0</v>
      </c>
      <c r="L2635" s="90">
        <f t="shared" si="655"/>
        <v>0</v>
      </c>
      <c r="M2635" s="90">
        <f t="shared" si="656"/>
        <v>0</v>
      </c>
      <c r="N2635" s="90">
        <v>0</v>
      </c>
      <c r="O2635" s="90">
        <f t="shared" si="657"/>
        <v>0</v>
      </c>
      <c r="P2635" s="92" t="s">
        <v>1647</v>
      </c>
      <c r="Z2635" s="93">
        <f t="shared" si="658"/>
        <v>0</v>
      </c>
      <c r="AB2635" s="93">
        <f t="shared" si="659"/>
        <v>0</v>
      </c>
      <c r="AC2635" s="93">
        <f t="shared" si="660"/>
        <v>0</v>
      </c>
      <c r="AD2635" s="93">
        <f t="shared" si="661"/>
        <v>0</v>
      </c>
      <c r="AE2635" s="93">
        <f t="shared" si="662"/>
        <v>0</v>
      </c>
      <c r="AF2635" s="93">
        <f t="shared" si="663"/>
        <v>0</v>
      </c>
      <c r="AG2635" s="93">
        <f t="shared" si="664"/>
        <v>0</v>
      </c>
      <c r="AH2635" s="93">
        <f t="shared" si="665"/>
        <v>0</v>
      </c>
      <c r="AI2635" s="88" t="s">
        <v>55</v>
      </c>
      <c r="AJ2635" s="93">
        <f t="shared" si="666"/>
        <v>0</v>
      </c>
      <c r="AK2635" s="93">
        <f t="shared" si="667"/>
        <v>0</v>
      </c>
      <c r="AL2635" s="93">
        <f t="shared" si="668"/>
        <v>0</v>
      </c>
      <c r="AN2635" s="93">
        <v>21</v>
      </c>
      <c r="AO2635" s="93">
        <f t="shared" si="669"/>
        <v>0</v>
      </c>
      <c r="AP2635" s="93">
        <f t="shared" si="670"/>
        <v>0</v>
      </c>
      <c r="AQ2635" s="94" t="s">
        <v>118</v>
      </c>
      <c r="AV2635" s="93">
        <f t="shared" si="671"/>
        <v>0</v>
      </c>
      <c r="AW2635" s="93">
        <f t="shared" si="672"/>
        <v>0</v>
      </c>
      <c r="AX2635" s="93">
        <f t="shared" si="673"/>
        <v>0</v>
      </c>
      <c r="AY2635" s="94" t="s">
        <v>3494</v>
      </c>
      <c r="AZ2635" s="94" t="s">
        <v>3495</v>
      </c>
      <c r="BA2635" s="88" t="s">
        <v>67</v>
      </c>
      <c r="BC2635" s="93">
        <f t="shared" si="674"/>
        <v>0</v>
      </c>
      <c r="BD2635" s="93">
        <f t="shared" si="675"/>
        <v>0</v>
      </c>
      <c r="BE2635" s="93">
        <v>0</v>
      </c>
      <c r="BF2635" s="93">
        <f t="shared" si="676"/>
        <v>0</v>
      </c>
      <c r="BH2635" s="93">
        <f t="shared" si="677"/>
        <v>0</v>
      </c>
      <c r="BI2635" s="93">
        <f t="shared" si="678"/>
        <v>0</v>
      </c>
      <c r="BJ2635" s="93">
        <f t="shared" si="679"/>
        <v>0</v>
      </c>
      <c r="BK2635" s="93"/>
      <c r="BL2635" s="93"/>
      <c r="BW2635" s="93" t="str">
        <f t="shared" si="680"/>
        <v>21</v>
      </c>
      <c r="BX2635" s="2" t="s">
        <v>3777</v>
      </c>
    </row>
    <row r="2636" spans="1:76" s="81" customFormat="1" ht="25.5" x14ac:dyDescent="0.25">
      <c r="A2636" s="66" t="s">
        <v>3796</v>
      </c>
      <c r="B2636" s="72" t="s">
        <v>55</v>
      </c>
      <c r="C2636" s="72" t="s">
        <v>3779</v>
      </c>
      <c r="D2636" s="174" t="s">
        <v>3780</v>
      </c>
      <c r="E2636" s="174"/>
      <c r="F2636" s="72" t="s">
        <v>3514</v>
      </c>
      <c r="G2636" s="90">
        <v>1</v>
      </c>
      <c r="H2636" s="91"/>
      <c r="I2636" s="92" t="s">
        <v>63</v>
      </c>
      <c r="J2636" s="90">
        <f t="shared" si="653"/>
        <v>0</v>
      </c>
      <c r="K2636" s="90">
        <f t="shared" si="654"/>
        <v>0</v>
      </c>
      <c r="L2636" s="90">
        <f t="shared" si="655"/>
        <v>0</v>
      </c>
      <c r="M2636" s="90">
        <f t="shared" si="656"/>
        <v>0</v>
      </c>
      <c r="N2636" s="90">
        <v>0</v>
      </c>
      <c r="O2636" s="90">
        <f t="shared" si="657"/>
        <v>0</v>
      </c>
      <c r="P2636" s="92" t="s">
        <v>1647</v>
      </c>
      <c r="Z2636" s="93">
        <f t="shared" si="658"/>
        <v>0</v>
      </c>
      <c r="AB2636" s="93">
        <f t="shared" si="659"/>
        <v>0</v>
      </c>
      <c r="AC2636" s="93">
        <f t="shared" si="660"/>
        <v>0</v>
      </c>
      <c r="AD2636" s="93">
        <f t="shared" si="661"/>
        <v>0</v>
      </c>
      <c r="AE2636" s="93">
        <f t="shared" si="662"/>
        <v>0</v>
      </c>
      <c r="AF2636" s="93">
        <f t="shared" si="663"/>
        <v>0</v>
      </c>
      <c r="AG2636" s="93">
        <f t="shared" si="664"/>
        <v>0</v>
      </c>
      <c r="AH2636" s="93">
        <f t="shared" si="665"/>
        <v>0</v>
      </c>
      <c r="AI2636" s="88" t="s">
        <v>55</v>
      </c>
      <c r="AJ2636" s="93">
        <f t="shared" si="666"/>
        <v>0</v>
      </c>
      <c r="AK2636" s="93">
        <f t="shared" si="667"/>
        <v>0</v>
      </c>
      <c r="AL2636" s="93">
        <f t="shared" si="668"/>
        <v>0</v>
      </c>
      <c r="AN2636" s="93">
        <v>21</v>
      </c>
      <c r="AO2636" s="93">
        <f t="shared" si="669"/>
        <v>0</v>
      </c>
      <c r="AP2636" s="93">
        <f t="shared" si="670"/>
        <v>0</v>
      </c>
      <c r="AQ2636" s="94" t="s">
        <v>118</v>
      </c>
      <c r="AV2636" s="93">
        <f t="shared" si="671"/>
        <v>0</v>
      </c>
      <c r="AW2636" s="93">
        <f t="shared" si="672"/>
        <v>0</v>
      </c>
      <c r="AX2636" s="93">
        <f t="shared" si="673"/>
        <v>0</v>
      </c>
      <c r="AY2636" s="94" t="s">
        <v>3494</v>
      </c>
      <c r="AZ2636" s="94" t="s">
        <v>3495</v>
      </c>
      <c r="BA2636" s="88" t="s">
        <v>67</v>
      </c>
      <c r="BC2636" s="93">
        <f t="shared" si="674"/>
        <v>0</v>
      </c>
      <c r="BD2636" s="93">
        <f t="shared" si="675"/>
        <v>0</v>
      </c>
      <c r="BE2636" s="93">
        <v>0</v>
      </c>
      <c r="BF2636" s="93">
        <f t="shared" si="676"/>
        <v>0</v>
      </c>
      <c r="BH2636" s="93">
        <f t="shared" si="677"/>
        <v>0</v>
      </c>
      <c r="BI2636" s="93">
        <f t="shared" si="678"/>
        <v>0</v>
      </c>
      <c r="BJ2636" s="93">
        <f t="shared" si="679"/>
        <v>0</v>
      </c>
      <c r="BK2636" s="93"/>
      <c r="BL2636" s="93"/>
      <c r="BW2636" s="93" t="str">
        <f t="shared" si="680"/>
        <v>21</v>
      </c>
      <c r="BX2636" s="2" t="s">
        <v>3780</v>
      </c>
    </row>
    <row r="2637" spans="1:76" s="81" customFormat="1" ht="25.5" x14ac:dyDescent="0.25">
      <c r="A2637" s="66" t="s">
        <v>3799</v>
      </c>
      <c r="B2637" s="72" t="s">
        <v>55</v>
      </c>
      <c r="C2637" s="72" t="s">
        <v>3782</v>
      </c>
      <c r="D2637" s="174" t="s">
        <v>3783</v>
      </c>
      <c r="E2637" s="174"/>
      <c r="F2637" s="72" t="s">
        <v>3514</v>
      </c>
      <c r="G2637" s="90">
        <v>2</v>
      </c>
      <c r="H2637" s="91"/>
      <c r="I2637" s="92" t="s">
        <v>63</v>
      </c>
      <c r="J2637" s="90">
        <f t="shared" si="653"/>
        <v>0</v>
      </c>
      <c r="K2637" s="90">
        <f t="shared" si="654"/>
        <v>0</v>
      </c>
      <c r="L2637" s="90">
        <f t="shared" si="655"/>
        <v>0</v>
      </c>
      <c r="M2637" s="90">
        <f t="shared" si="656"/>
        <v>0</v>
      </c>
      <c r="N2637" s="90">
        <v>0</v>
      </c>
      <c r="O2637" s="90">
        <f t="shared" si="657"/>
        <v>0</v>
      </c>
      <c r="P2637" s="92" t="s">
        <v>1647</v>
      </c>
      <c r="Z2637" s="93">
        <f t="shared" si="658"/>
        <v>0</v>
      </c>
      <c r="AB2637" s="93">
        <f t="shared" si="659"/>
        <v>0</v>
      </c>
      <c r="AC2637" s="93">
        <f t="shared" si="660"/>
        <v>0</v>
      </c>
      <c r="AD2637" s="93">
        <f t="shared" si="661"/>
        <v>0</v>
      </c>
      <c r="AE2637" s="93">
        <f t="shared" si="662"/>
        <v>0</v>
      </c>
      <c r="AF2637" s="93">
        <f t="shared" si="663"/>
        <v>0</v>
      </c>
      <c r="AG2637" s="93">
        <f t="shared" si="664"/>
        <v>0</v>
      </c>
      <c r="AH2637" s="93">
        <f t="shared" si="665"/>
        <v>0</v>
      </c>
      <c r="AI2637" s="88" t="s">
        <v>55</v>
      </c>
      <c r="AJ2637" s="93">
        <f t="shared" si="666"/>
        <v>0</v>
      </c>
      <c r="AK2637" s="93">
        <f t="shared" si="667"/>
        <v>0</v>
      </c>
      <c r="AL2637" s="93">
        <f t="shared" si="668"/>
        <v>0</v>
      </c>
      <c r="AN2637" s="93">
        <v>21</v>
      </c>
      <c r="AO2637" s="93">
        <f t="shared" si="669"/>
        <v>0</v>
      </c>
      <c r="AP2637" s="93">
        <f t="shared" si="670"/>
        <v>0</v>
      </c>
      <c r="AQ2637" s="94" t="s">
        <v>118</v>
      </c>
      <c r="AV2637" s="93">
        <f t="shared" si="671"/>
        <v>0</v>
      </c>
      <c r="AW2637" s="93">
        <f t="shared" si="672"/>
        <v>0</v>
      </c>
      <c r="AX2637" s="93">
        <f t="shared" si="673"/>
        <v>0</v>
      </c>
      <c r="AY2637" s="94" t="s">
        <v>3494</v>
      </c>
      <c r="AZ2637" s="94" t="s">
        <v>3495</v>
      </c>
      <c r="BA2637" s="88" t="s">
        <v>67</v>
      </c>
      <c r="BC2637" s="93">
        <f t="shared" si="674"/>
        <v>0</v>
      </c>
      <c r="BD2637" s="93">
        <f t="shared" si="675"/>
        <v>0</v>
      </c>
      <c r="BE2637" s="93">
        <v>0</v>
      </c>
      <c r="BF2637" s="93">
        <f t="shared" si="676"/>
        <v>0</v>
      </c>
      <c r="BH2637" s="93">
        <f t="shared" si="677"/>
        <v>0</v>
      </c>
      <c r="BI2637" s="93">
        <f t="shared" si="678"/>
        <v>0</v>
      </c>
      <c r="BJ2637" s="93">
        <f t="shared" si="679"/>
        <v>0</v>
      </c>
      <c r="BK2637" s="93"/>
      <c r="BL2637" s="93"/>
      <c r="BW2637" s="93" t="str">
        <f t="shared" si="680"/>
        <v>21</v>
      </c>
      <c r="BX2637" s="2" t="s">
        <v>3783</v>
      </c>
    </row>
    <row r="2638" spans="1:76" s="81" customFormat="1" ht="25.5" x14ac:dyDescent="0.25">
      <c r="A2638" s="66" t="s">
        <v>3802</v>
      </c>
      <c r="B2638" s="72" t="s">
        <v>55</v>
      </c>
      <c r="C2638" s="72" t="s">
        <v>3785</v>
      </c>
      <c r="D2638" s="174" t="s">
        <v>3786</v>
      </c>
      <c r="E2638" s="174"/>
      <c r="F2638" s="72" t="s">
        <v>3514</v>
      </c>
      <c r="G2638" s="90">
        <v>1</v>
      </c>
      <c r="H2638" s="91"/>
      <c r="I2638" s="92" t="s">
        <v>63</v>
      </c>
      <c r="J2638" s="90">
        <f t="shared" si="653"/>
        <v>0</v>
      </c>
      <c r="K2638" s="90">
        <f t="shared" si="654"/>
        <v>0</v>
      </c>
      <c r="L2638" s="90">
        <f t="shared" si="655"/>
        <v>0</v>
      </c>
      <c r="M2638" s="90">
        <f t="shared" si="656"/>
        <v>0</v>
      </c>
      <c r="N2638" s="90">
        <v>0</v>
      </c>
      <c r="O2638" s="90">
        <f t="shared" si="657"/>
        <v>0</v>
      </c>
      <c r="P2638" s="92" t="s">
        <v>1647</v>
      </c>
      <c r="Z2638" s="93">
        <f t="shared" si="658"/>
        <v>0</v>
      </c>
      <c r="AB2638" s="93">
        <f t="shared" si="659"/>
        <v>0</v>
      </c>
      <c r="AC2638" s="93">
        <f t="shared" si="660"/>
        <v>0</v>
      </c>
      <c r="AD2638" s="93">
        <f t="shared" si="661"/>
        <v>0</v>
      </c>
      <c r="AE2638" s="93">
        <f t="shared" si="662"/>
        <v>0</v>
      </c>
      <c r="AF2638" s="93">
        <f t="shared" si="663"/>
        <v>0</v>
      </c>
      <c r="AG2638" s="93">
        <f t="shared" si="664"/>
        <v>0</v>
      </c>
      <c r="AH2638" s="93">
        <f t="shared" si="665"/>
        <v>0</v>
      </c>
      <c r="AI2638" s="88" t="s">
        <v>55</v>
      </c>
      <c r="AJ2638" s="93">
        <f t="shared" si="666"/>
        <v>0</v>
      </c>
      <c r="AK2638" s="93">
        <f t="shared" si="667"/>
        <v>0</v>
      </c>
      <c r="AL2638" s="93">
        <f t="shared" si="668"/>
        <v>0</v>
      </c>
      <c r="AN2638" s="93">
        <v>21</v>
      </c>
      <c r="AO2638" s="93">
        <f t="shared" si="669"/>
        <v>0</v>
      </c>
      <c r="AP2638" s="93">
        <f t="shared" si="670"/>
        <v>0</v>
      </c>
      <c r="AQ2638" s="94" t="s">
        <v>118</v>
      </c>
      <c r="AV2638" s="93">
        <f t="shared" si="671"/>
        <v>0</v>
      </c>
      <c r="AW2638" s="93">
        <f t="shared" si="672"/>
        <v>0</v>
      </c>
      <c r="AX2638" s="93">
        <f t="shared" si="673"/>
        <v>0</v>
      </c>
      <c r="AY2638" s="94" t="s">
        <v>3494</v>
      </c>
      <c r="AZ2638" s="94" t="s">
        <v>3495</v>
      </c>
      <c r="BA2638" s="88" t="s">
        <v>67</v>
      </c>
      <c r="BC2638" s="93">
        <f t="shared" si="674"/>
        <v>0</v>
      </c>
      <c r="BD2638" s="93">
        <f t="shared" si="675"/>
        <v>0</v>
      </c>
      <c r="BE2638" s="93">
        <v>0</v>
      </c>
      <c r="BF2638" s="93">
        <f t="shared" si="676"/>
        <v>0</v>
      </c>
      <c r="BH2638" s="93">
        <f t="shared" si="677"/>
        <v>0</v>
      </c>
      <c r="BI2638" s="93">
        <f t="shared" si="678"/>
        <v>0</v>
      </c>
      <c r="BJ2638" s="93">
        <f t="shared" si="679"/>
        <v>0</v>
      </c>
      <c r="BK2638" s="93"/>
      <c r="BL2638" s="93"/>
      <c r="BW2638" s="93" t="str">
        <f t="shared" si="680"/>
        <v>21</v>
      </c>
      <c r="BX2638" s="2" t="s">
        <v>3786</v>
      </c>
    </row>
    <row r="2639" spans="1:76" s="81" customFormat="1" ht="25.5" x14ac:dyDescent="0.25">
      <c r="A2639" s="66" t="s">
        <v>3805</v>
      </c>
      <c r="B2639" s="72" t="s">
        <v>55</v>
      </c>
      <c r="C2639" s="72" t="s">
        <v>3788</v>
      </c>
      <c r="D2639" s="174" t="s">
        <v>3789</v>
      </c>
      <c r="E2639" s="174"/>
      <c r="F2639" s="72" t="s">
        <v>3514</v>
      </c>
      <c r="G2639" s="90">
        <v>1</v>
      </c>
      <c r="H2639" s="91"/>
      <c r="I2639" s="92" t="s">
        <v>63</v>
      </c>
      <c r="J2639" s="90">
        <f t="shared" si="653"/>
        <v>0</v>
      </c>
      <c r="K2639" s="90">
        <f t="shared" si="654"/>
        <v>0</v>
      </c>
      <c r="L2639" s="90">
        <f t="shared" si="655"/>
        <v>0</v>
      </c>
      <c r="M2639" s="90">
        <f t="shared" si="656"/>
        <v>0</v>
      </c>
      <c r="N2639" s="90">
        <v>0</v>
      </c>
      <c r="O2639" s="90">
        <f t="shared" si="657"/>
        <v>0</v>
      </c>
      <c r="P2639" s="92" t="s">
        <v>1647</v>
      </c>
      <c r="Z2639" s="93">
        <f t="shared" si="658"/>
        <v>0</v>
      </c>
      <c r="AB2639" s="93">
        <f t="shared" si="659"/>
        <v>0</v>
      </c>
      <c r="AC2639" s="93">
        <f t="shared" si="660"/>
        <v>0</v>
      </c>
      <c r="AD2639" s="93">
        <f t="shared" si="661"/>
        <v>0</v>
      </c>
      <c r="AE2639" s="93">
        <f t="shared" si="662"/>
        <v>0</v>
      </c>
      <c r="AF2639" s="93">
        <f t="shared" si="663"/>
        <v>0</v>
      </c>
      <c r="AG2639" s="93">
        <f t="shared" si="664"/>
        <v>0</v>
      </c>
      <c r="AH2639" s="93">
        <f t="shared" si="665"/>
        <v>0</v>
      </c>
      <c r="AI2639" s="88" t="s">
        <v>55</v>
      </c>
      <c r="AJ2639" s="93">
        <f t="shared" si="666"/>
        <v>0</v>
      </c>
      <c r="AK2639" s="93">
        <f t="shared" si="667"/>
        <v>0</v>
      </c>
      <c r="AL2639" s="93">
        <f t="shared" si="668"/>
        <v>0</v>
      </c>
      <c r="AN2639" s="93">
        <v>21</v>
      </c>
      <c r="AO2639" s="93">
        <f t="shared" si="669"/>
        <v>0</v>
      </c>
      <c r="AP2639" s="93">
        <f t="shared" si="670"/>
        <v>0</v>
      </c>
      <c r="AQ2639" s="94" t="s">
        <v>118</v>
      </c>
      <c r="AV2639" s="93">
        <f t="shared" si="671"/>
        <v>0</v>
      </c>
      <c r="AW2639" s="93">
        <f t="shared" si="672"/>
        <v>0</v>
      </c>
      <c r="AX2639" s="93">
        <f t="shared" si="673"/>
        <v>0</v>
      </c>
      <c r="AY2639" s="94" t="s">
        <v>3494</v>
      </c>
      <c r="AZ2639" s="94" t="s">
        <v>3495</v>
      </c>
      <c r="BA2639" s="88" t="s">
        <v>67</v>
      </c>
      <c r="BC2639" s="93">
        <f t="shared" si="674"/>
        <v>0</v>
      </c>
      <c r="BD2639" s="93">
        <f t="shared" si="675"/>
        <v>0</v>
      </c>
      <c r="BE2639" s="93">
        <v>0</v>
      </c>
      <c r="BF2639" s="93">
        <f t="shared" si="676"/>
        <v>0</v>
      </c>
      <c r="BH2639" s="93">
        <f t="shared" si="677"/>
        <v>0</v>
      </c>
      <c r="BI2639" s="93">
        <f t="shared" si="678"/>
        <v>0</v>
      </c>
      <c r="BJ2639" s="93">
        <f t="shared" si="679"/>
        <v>0</v>
      </c>
      <c r="BK2639" s="93"/>
      <c r="BL2639" s="93"/>
      <c r="BW2639" s="93" t="str">
        <f t="shared" si="680"/>
        <v>21</v>
      </c>
      <c r="BX2639" s="2" t="s">
        <v>3789</v>
      </c>
    </row>
    <row r="2640" spans="1:76" s="81" customFormat="1" ht="25.5" x14ac:dyDescent="0.25">
      <c r="A2640" s="66" t="s">
        <v>3808</v>
      </c>
      <c r="B2640" s="72" t="s">
        <v>55</v>
      </c>
      <c r="C2640" s="72" t="s">
        <v>3791</v>
      </c>
      <c r="D2640" s="174" t="s">
        <v>3792</v>
      </c>
      <c r="E2640" s="174"/>
      <c r="F2640" s="72" t="s">
        <v>3514</v>
      </c>
      <c r="G2640" s="90">
        <v>3</v>
      </c>
      <c r="H2640" s="91"/>
      <c r="I2640" s="92" t="s">
        <v>63</v>
      </c>
      <c r="J2640" s="90">
        <f t="shared" si="653"/>
        <v>0</v>
      </c>
      <c r="K2640" s="90">
        <f t="shared" si="654"/>
        <v>0</v>
      </c>
      <c r="L2640" s="90">
        <f t="shared" si="655"/>
        <v>0</v>
      </c>
      <c r="M2640" s="90">
        <f t="shared" si="656"/>
        <v>0</v>
      </c>
      <c r="N2640" s="90">
        <v>0</v>
      </c>
      <c r="O2640" s="90">
        <f t="shared" si="657"/>
        <v>0</v>
      </c>
      <c r="P2640" s="92" t="s">
        <v>1647</v>
      </c>
      <c r="Z2640" s="93">
        <f t="shared" si="658"/>
        <v>0</v>
      </c>
      <c r="AB2640" s="93">
        <f t="shared" si="659"/>
        <v>0</v>
      </c>
      <c r="AC2640" s="93">
        <f t="shared" si="660"/>
        <v>0</v>
      </c>
      <c r="AD2640" s="93">
        <f t="shared" si="661"/>
        <v>0</v>
      </c>
      <c r="AE2640" s="93">
        <f t="shared" si="662"/>
        <v>0</v>
      </c>
      <c r="AF2640" s="93">
        <f t="shared" si="663"/>
        <v>0</v>
      </c>
      <c r="AG2640" s="93">
        <f t="shared" si="664"/>
        <v>0</v>
      </c>
      <c r="AH2640" s="93">
        <f t="shared" si="665"/>
        <v>0</v>
      </c>
      <c r="AI2640" s="88" t="s">
        <v>55</v>
      </c>
      <c r="AJ2640" s="93">
        <f t="shared" si="666"/>
        <v>0</v>
      </c>
      <c r="AK2640" s="93">
        <f t="shared" si="667"/>
        <v>0</v>
      </c>
      <c r="AL2640" s="93">
        <f t="shared" si="668"/>
        <v>0</v>
      </c>
      <c r="AN2640" s="93">
        <v>21</v>
      </c>
      <c r="AO2640" s="93">
        <f t="shared" si="669"/>
        <v>0</v>
      </c>
      <c r="AP2640" s="93">
        <f t="shared" si="670"/>
        <v>0</v>
      </c>
      <c r="AQ2640" s="94" t="s">
        <v>118</v>
      </c>
      <c r="AV2640" s="93">
        <f t="shared" si="671"/>
        <v>0</v>
      </c>
      <c r="AW2640" s="93">
        <f t="shared" si="672"/>
        <v>0</v>
      </c>
      <c r="AX2640" s="93">
        <f t="shared" si="673"/>
        <v>0</v>
      </c>
      <c r="AY2640" s="94" t="s">
        <v>3494</v>
      </c>
      <c r="AZ2640" s="94" t="s">
        <v>3495</v>
      </c>
      <c r="BA2640" s="88" t="s">
        <v>67</v>
      </c>
      <c r="BC2640" s="93">
        <f t="shared" si="674"/>
        <v>0</v>
      </c>
      <c r="BD2640" s="93">
        <f t="shared" si="675"/>
        <v>0</v>
      </c>
      <c r="BE2640" s="93">
        <v>0</v>
      </c>
      <c r="BF2640" s="93">
        <f t="shared" si="676"/>
        <v>0</v>
      </c>
      <c r="BH2640" s="93">
        <f t="shared" si="677"/>
        <v>0</v>
      </c>
      <c r="BI2640" s="93">
        <f t="shared" si="678"/>
        <v>0</v>
      </c>
      <c r="BJ2640" s="93">
        <f t="shared" si="679"/>
        <v>0</v>
      </c>
      <c r="BK2640" s="93"/>
      <c r="BL2640" s="93"/>
      <c r="BW2640" s="93" t="str">
        <f t="shared" si="680"/>
        <v>21</v>
      </c>
      <c r="BX2640" s="2" t="s">
        <v>3792</v>
      </c>
    </row>
    <row r="2641" spans="1:76" s="81" customFormat="1" ht="25.5" x14ac:dyDescent="0.25">
      <c r="A2641" s="66" t="s">
        <v>3811</v>
      </c>
      <c r="B2641" s="72" t="s">
        <v>55</v>
      </c>
      <c r="C2641" s="72" t="s">
        <v>3794</v>
      </c>
      <c r="D2641" s="174" t="s">
        <v>3795</v>
      </c>
      <c r="E2641" s="174"/>
      <c r="F2641" s="72" t="s">
        <v>3514</v>
      </c>
      <c r="G2641" s="90">
        <v>20</v>
      </c>
      <c r="H2641" s="91"/>
      <c r="I2641" s="92" t="s">
        <v>63</v>
      </c>
      <c r="J2641" s="90">
        <f t="shared" si="653"/>
        <v>0</v>
      </c>
      <c r="K2641" s="90">
        <f t="shared" si="654"/>
        <v>0</v>
      </c>
      <c r="L2641" s="90">
        <f t="shared" si="655"/>
        <v>0</v>
      </c>
      <c r="M2641" s="90">
        <f t="shared" si="656"/>
        <v>0</v>
      </c>
      <c r="N2641" s="90">
        <v>0</v>
      </c>
      <c r="O2641" s="90">
        <f t="shared" si="657"/>
        <v>0</v>
      </c>
      <c r="P2641" s="92" t="s">
        <v>1647</v>
      </c>
      <c r="Z2641" s="93">
        <f t="shared" si="658"/>
        <v>0</v>
      </c>
      <c r="AB2641" s="93">
        <f t="shared" si="659"/>
        <v>0</v>
      </c>
      <c r="AC2641" s="93">
        <f t="shared" si="660"/>
        <v>0</v>
      </c>
      <c r="AD2641" s="93">
        <f t="shared" si="661"/>
        <v>0</v>
      </c>
      <c r="AE2641" s="93">
        <f t="shared" si="662"/>
        <v>0</v>
      </c>
      <c r="AF2641" s="93">
        <f t="shared" si="663"/>
        <v>0</v>
      </c>
      <c r="AG2641" s="93">
        <f t="shared" si="664"/>
        <v>0</v>
      </c>
      <c r="AH2641" s="93">
        <f t="shared" si="665"/>
        <v>0</v>
      </c>
      <c r="AI2641" s="88" t="s">
        <v>55</v>
      </c>
      <c r="AJ2641" s="93">
        <f t="shared" si="666"/>
        <v>0</v>
      </c>
      <c r="AK2641" s="93">
        <f t="shared" si="667"/>
        <v>0</v>
      </c>
      <c r="AL2641" s="93">
        <f t="shared" si="668"/>
        <v>0</v>
      </c>
      <c r="AN2641" s="93">
        <v>21</v>
      </c>
      <c r="AO2641" s="93">
        <f t="shared" si="669"/>
        <v>0</v>
      </c>
      <c r="AP2641" s="93">
        <f t="shared" si="670"/>
        <v>0</v>
      </c>
      <c r="AQ2641" s="94" t="s">
        <v>118</v>
      </c>
      <c r="AV2641" s="93">
        <f t="shared" si="671"/>
        <v>0</v>
      </c>
      <c r="AW2641" s="93">
        <f t="shared" si="672"/>
        <v>0</v>
      </c>
      <c r="AX2641" s="93">
        <f t="shared" si="673"/>
        <v>0</v>
      </c>
      <c r="AY2641" s="94" t="s">
        <v>3494</v>
      </c>
      <c r="AZ2641" s="94" t="s">
        <v>3495</v>
      </c>
      <c r="BA2641" s="88" t="s">
        <v>67</v>
      </c>
      <c r="BC2641" s="93">
        <f t="shared" si="674"/>
        <v>0</v>
      </c>
      <c r="BD2641" s="93">
        <f t="shared" si="675"/>
        <v>0</v>
      </c>
      <c r="BE2641" s="93">
        <v>0</v>
      </c>
      <c r="BF2641" s="93">
        <f t="shared" si="676"/>
        <v>0</v>
      </c>
      <c r="BH2641" s="93">
        <f t="shared" si="677"/>
        <v>0</v>
      </c>
      <c r="BI2641" s="93">
        <f t="shared" si="678"/>
        <v>0</v>
      </c>
      <c r="BJ2641" s="93">
        <f t="shared" si="679"/>
        <v>0</v>
      </c>
      <c r="BK2641" s="93"/>
      <c r="BL2641" s="93"/>
      <c r="BW2641" s="93" t="str">
        <f t="shared" si="680"/>
        <v>21</v>
      </c>
      <c r="BX2641" s="2" t="s">
        <v>3795</v>
      </c>
    </row>
    <row r="2642" spans="1:76" s="81" customFormat="1" ht="25.5" x14ac:dyDescent="0.25">
      <c r="A2642" s="66" t="s">
        <v>3814</v>
      </c>
      <c r="B2642" s="72" t="s">
        <v>55</v>
      </c>
      <c r="C2642" s="72" t="s">
        <v>3797</v>
      </c>
      <c r="D2642" s="174" t="s">
        <v>3798</v>
      </c>
      <c r="E2642" s="174"/>
      <c r="F2642" s="72" t="s">
        <v>3514</v>
      </c>
      <c r="G2642" s="90">
        <v>12</v>
      </c>
      <c r="H2642" s="91"/>
      <c r="I2642" s="92" t="s">
        <v>63</v>
      </c>
      <c r="J2642" s="90">
        <f t="shared" si="653"/>
        <v>0</v>
      </c>
      <c r="K2642" s="90">
        <f t="shared" si="654"/>
        <v>0</v>
      </c>
      <c r="L2642" s="90">
        <f t="shared" si="655"/>
        <v>0</v>
      </c>
      <c r="M2642" s="90">
        <f t="shared" si="656"/>
        <v>0</v>
      </c>
      <c r="N2642" s="90">
        <v>0</v>
      </c>
      <c r="O2642" s="90">
        <f t="shared" si="657"/>
        <v>0</v>
      </c>
      <c r="P2642" s="92" t="s">
        <v>1647</v>
      </c>
      <c r="Z2642" s="93">
        <f t="shared" si="658"/>
        <v>0</v>
      </c>
      <c r="AB2642" s="93">
        <f t="shared" si="659"/>
        <v>0</v>
      </c>
      <c r="AC2642" s="93">
        <f t="shared" si="660"/>
        <v>0</v>
      </c>
      <c r="AD2642" s="93">
        <f t="shared" si="661"/>
        <v>0</v>
      </c>
      <c r="AE2642" s="93">
        <f t="shared" si="662"/>
        <v>0</v>
      </c>
      <c r="AF2642" s="93">
        <f t="shared" si="663"/>
        <v>0</v>
      </c>
      <c r="AG2642" s="93">
        <f t="shared" si="664"/>
        <v>0</v>
      </c>
      <c r="AH2642" s="93">
        <f t="shared" si="665"/>
        <v>0</v>
      </c>
      <c r="AI2642" s="88" t="s">
        <v>55</v>
      </c>
      <c r="AJ2642" s="93">
        <f t="shared" si="666"/>
        <v>0</v>
      </c>
      <c r="AK2642" s="93">
        <f t="shared" si="667"/>
        <v>0</v>
      </c>
      <c r="AL2642" s="93">
        <f t="shared" si="668"/>
        <v>0</v>
      </c>
      <c r="AN2642" s="93">
        <v>21</v>
      </c>
      <c r="AO2642" s="93">
        <f t="shared" si="669"/>
        <v>0</v>
      </c>
      <c r="AP2642" s="93">
        <f t="shared" si="670"/>
        <v>0</v>
      </c>
      <c r="AQ2642" s="94" t="s">
        <v>118</v>
      </c>
      <c r="AV2642" s="93">
        <f t="shared" si="671"/>
        <v>0</v>
      </c>
      <c r="AW2642" s="93">
        <f t="shared" si="672"/>
        <v>0</v>
      </c>
      <c r="AX2642" s="93">
        <f t="shared" si="673"/>
        <v>0</v>
      </c>
      <c r="AY2642" s="94" t="s">
        <v>3494</v>
      </c>
      <c r="AZ2642" s="94" t="s">
        <v>3495</v>
      </c>
      <c r="BA2642" s="88" t="s">
        <v>67</v>
      </c>
      <c r="BC2642" s="93">
        <f t="shared" si="674"/>
        <v>0</v>
      </c>
      <c r="BD2642" s="93">
        <f t="shared" si="675"/>
        <v>0</v>
      </c>
      <c r="BE2642" s="93">
        <v>0</v>
      </c>
      <c r="BF2642" s="93">
        <f t="shared" si="676"/>
        <v>0</v>
      </c>
      <c r="BH2642" s="93">
        <f t="shared" si="677"/>
        <v>0</v>
      </c>
      <c r="BI2642" s="93">
        <f t="shared" si="678"/>
        <v>0</v>
      </c>
      <c r="BJ2642" s="93">
        <f t="shared" si="679"/>
        <v>0</v>
      </c>
      <c r="BK2642" s="93"/>
      <c r="BL2642" s="93"/>
      <c r="BW2642" s="93" t="str">
        <f t="shared" si="680"/>
        <v>21</v>
      </c>
      <c r="BX2642" s="2" t="s">
        <v>3798</v>
      </c>
    </row>
    <row r="2643" spans="1:76" s="81" customFormat="1" ht="25.5" x14ac:dyDescent="0.25">
      <c r="A2643" s="66" t="s">
        <v>3817</v>
      </c>
      <c r="B2643" s="72" t="s">
        <v>55</v>
      </c>
      <c r="C2643" s="72" t="s">
        <v>3800</v>
      </c>
      <c r="D2643" s="174" t="s">
        <v>3801</v>
      </c>
      <c r="E2643" s="174"/>
      <c r="F2643" s="72" t="s">
        <v>3514</v>
      </c>
      <c r="G2643" s="90">
        <v>1</v>
      </c>
      <c r="H2643" s="91"/>
      <c r="I2643" s="92" t="s">
        <v>63</v>
      </c>
      <c r="J2643" s="90">
        <f t="shared" si="653"/>
        <v>0</v>
      </c>
      <c r="K2643" s="90">
        <f t="shared" si="654"/>
        <v>0</v>
      </c>
      <c r="L2643" s="90">
        <f t="shared" si="655"/>
        <v>0</v>
      </c>
      <c r="M2643" s="90">
        <f t="shared" si="656"/>
        <v>0</v>
      </c>
      <c r="N2643" s="90">
        <v>0</v>
      </c>
      <c r="O2643" s="90">
        <f t="shared" si="657"/>
        <v>0</v>
      </c>
      <c r="P2643" s="92" t="s">
        <v>1647</v>
      </c>
      <c r="Z2643" s="93">
        <f t="shared" si="658"/>
        <v>0</v>
      </c>
      <c r="AB2643" s="93">
        <f t="shared" si="659"/>
        <v>0</v>
      </c>
      <c r="AC2643" s="93">
        <f t="shared" si="660"/>
        <v>0</v>
      </c>
      <c r="AD2643" s="93">
        <f t="shared" si="661"/>
        <v>0</v>
      </c>
      <c r="AE2643" s="93">
        <f t="shared" si="662"/>
        <v>0</v>
      </c>
      <c r="AF2643" s="93">
        <f t="shared" si="663"/>
        <v>0</v>
      </c>
      <c r="AG2643" s="93">
        <f t="shared" si="664"/>
        <v>0</v>
      </c>
      <c r="AH2643" s="93">
        <f t="shared" si="665"/>
        <v>0</v>
      </c>
      <c r="AI2643" s="88" t="s">
        <v>55</v>
      </c>
      <c r="AJ2643" s="93">
        <f t="shared" si="666"/>
        <v>0</v>
      </c>
      <c r="AK2643" s="93">
        <f t="shared" si="667"/>
        <v>0</v>
      </c>
      <c r="AL2643" s="93">
        <f t="shared" si="668"/>
        <v>0</v>
      </c>
      <c r="AN2643" s="93">
        <v>21</v>
      </c>
      <c r="AO2643" s="93">
        <f t="shared" si="669"/>
        <v>0</v>
      </c>
      <c r="AP2643" s="93">
        <f t="shared" si="670"/>
        <v>0</v>
      </c>
      <c r="AQ2643" s="94" t="s">
        <v>118</v>
      </c>
      <c r="AV2643" s="93">
        <f t="shared" si="671"/>
        <v>0</v>
      </c>
      <c r="AW2643" s="93">
        <f t="shared" si="672"/>
        <v>0</v>
      </c>
      <c r="AX2643" s="93">
        <f t="shared" si="673"/>
        <v>0</v>
      </c>
      <c r="AY2643" s="94" t="s">
        <v>3494</v>
      </c>
      <c r="AZ2643" s="94" t="s">
        <v>3495</v>
      </c>
      <c r="BA2643" s="88" t="s">
        <v>67</v>
      </c>
      <c r="BC2643" s="93">
        <f t="shared" si="674"/>
        <v>0</v>
      </c>
      <c r="BD2643" s="93">
        <f t="shared" si="675"/>
        <v>0</v>
      </c>
      <c r="BE2643" s="93">
        <v>0</v>
      </c>
      <c r="BF2643" s="93">
        <f t="shared" si="676"/>
        <v>0</v>
      </c>
      <c r="BH2643" s="93">
        <f t="shared" si="677"/>
        <v>0</v>
      </c>
      <c r="BI2643" s="93">
        <f t="shared" si="678"/>
        <v>0</v>
      </c>
      <c r="BJ2643" s="93">
        <f t="shared" si="679"/>
        <v>0</v>
      </c>
      <c r="BK2643" s="93"/>
      <c r="BL2643" s="93"/>
      <c r="BW2643" s="93" t="str">
        <f t="shared" si="680"/>
        <v>21</v>
      </c>
      <c r="BX2643" s="2" t="s">
        <v>3801</v>
      </c>
    </row>
    <row r="2644" spans="1:76" s="81" customFormat="1" ht="25.5" x14ac:dyDescent="0.25">
      <c r="A2644" s="66" t="s">
        <v>3820</v>
      </c>
      <c r="B2644" s="72" t="s">
        <v>55</v>
      </c>
      <c r="C2644" s="72" t="s">
        <v>3803</v>
      </c>
      <c r="D2644" s="174" t="s">
        <v>3804</v>
      </c>
      <c r="E2644" s="174"/>
      <c r="F2644" s="72" t="s">
        <v>3596</v>
      </c>
      <c r="G2644" s="90">
        <v>42</v>
      </c>
      <c r="H2644" s="91"/>
      <c r="I2644" s="92" t="s">
        <v>63</v>
      </c>
      <c r="J2644" s="90">
        <f t="shared" si="653"/>
        <v>0</v>
      </c>
      <c r="K2644" s="90">
        <f t="shared" si="654"/>
        <v>0</v>
      </c>
      <c r="L2644" s="90">
        <f t="shared" si="655"/>
        <v>0</v>
      </c>
      <c r="M2644" s="90">
        <f t="shared" si="656"/>
        <v>0</v>
      </c>
      <c r="N2644" s="90">
        <v>0</v>
      </c>
      <c r="O2644" s="90">
        <f t="shared" si="657"/>
        <v>0</v>
      </c>
      <c r="P2644" s="92" t="s">
        <v>1647</v>
      </c>
      <c r="Z2644" s="93">
        <f t="shared" si="658"/>
        <v>0</v>
      </c>
      <c r="AB2644" s="93">
        <f t="shared" si="659"/>
        <v>0</v>
      </c>
      <c r="AC2644" s="93">
        <f t="shared" si="660"/>
        <v>0</v>
      </c>
      <c r="AD2644" s="93">
        <f t="shared" si="661"/>
        <v>0</v>
      </c>
      <c r="AE2644" s="93">
        <f t="shared" si="662"/>
        <v>0</v>
      </c>
      <c r="AF2644" s="93">
        <f t="shared" si="663"/>
        <v>0</v>
      </c>
      <c r="AG2644" s="93">
        <f t="shared" si="664"/>
        <v>0</v>
      </c>
      <c r="AH2644" s="93">
        <f t="shared" si="665"/>
        <v>0</v>
      </c>
      <c r="AI2644" s="88" t="s">
        <v>55</v>
      </c>
      <c r="AJ2644" s="93">
        <f t="shared" si="666"/>
        <v>0</v>
      </c>
      <c r="AK2644" s="93">
        <f t="shared" si="667"/>
        <v>0</v>
      </c>
      <c r="AL2644" s="93">
        <f t="shared" si="668"/>
        <v>0</v>
      </c>
      <c r="AN2644" s="93">
        <v>21</v>
      </c>
      <c r="AO2644" s="93">
        <f t="shared" si="669"/>
        <v>0</v>
      </c>
      <c r="AP2644" s="93">
        <f t="shared" si="670"/>
        <v>0</v>
      </c>
      <c r="AQ2644" s="94" t="s">
        <v>118</v>
      </c>
      <c r="AV2644" s="93">
        <f t="shared" si="671"/>
        <v>0</v>
      </c>
      <c r="AW2644" s="93">
        <f t="shared" si="672"/>
        <v>0</v>
      </c>
      <c r="AX2644" s="93">
        <f t="shared" si="673"/>
        <v>0</v>
      </c>
      <c r="AY2644" s="94" t="s">
        <v>3494</v>
      </c>
      <c r="AZ2644" s="94" t="s">
        <v>3495</v>
      </c>
      <c r="BA2644" s="88" t="s">
        <v>67</v>
      </c>
      <c r="BC2644" s="93">
        <f t="shared" si="674"/>
        <v>0</v>
      </c>
      <c r="BD2644" s="93">
        <f t="shared" si="675"/>
        <v>0</v>
      </c>
      <c r="BE2644" s="93">
        <v>0</v>
      </c>
      <c r="BF2644" s="93">
        <f t="shared" si="676"/>
        <v>0</v>
      </c>
      <c r="BH2644" s="93">
        <f t="shared" si="677"/>
        <v>0</v>
      </c>
      <c r="BI2644" s="93">
        <f t="shared" si="678"/>
        <v>0</v>
      </c>
      <c r="BJ2644" s="93">
        <f t="shared" si="679"/>
        <v>0</v>
      </c>
      <c r="BK2644" s="93"/>
      <c r="BL2644" s="93"/>
      <c r="BW2644" s="93" t="str">
        <f t="shared" si="680"/>
        <v>21</v>
      </c>
      <c r="BX2644" s="2" t="s">
        <v>3804</v>
      </c>
    </row>
    <row r="2645" spans="1:76" s="81" customFormat="1" ht="25.5" x14ac:dyDescent="0.25">
      <c r="A2645" s="66" t="s">
        <v>3823</v>
      </c>
      <c r="B2645" s="72" t="s">
        <v>55</v>
      </c>
      <c r="C2645" s="72" t="s">
        <v>3806</v>
      </c>
      <c r="D2645" s="174" t="s">
        <v>3807</v>
      </c>
      <c r="E2645" s="174"/>
      <c r="F2645" s="72" t="s">
        <v>3514</v>
      </c>
      <c r="G2645" s="90">
        <v>1</v>
      </c>
      <c r="H2645" s="91"/>
      <c r="I2645" s="92" t="s">
        <v>63</v>
      </c>
      <c r="J2645" s="90">
        <f t="shared" si="653"/>
        <v>0</v>
      </c>
      <c r="K2645" s="90">
        <f t="shared" si="654"/>
        <v>0</v>
      </c>
      <c r="L2645" s="90">
        <f t="shared" si="655"/>
        <v>0</v>
      </c>
      <c r="M2645" s="90">
        <f t="shared" si="656"/>
        <v>0</v>
      </c>
      <c r="N2645" s="90">
        <v>0</v>
      </c>
      <c r="O2645" s="90">
        <f t="shared" si="657"/>
        <v>0</v>
      </c>
      <c r="P2645" s="92" t="s">
        <v>1647</v>
      </c>
      <c r="Z2645" s="93">
        <f t="shared" si="658"/>
        <v>0</v>
      </c>
      <c r="AB2645" s="93">
        <f t="shared" si="659"/>
        <v>0</v>
      </c>
      <c r="AC2645" s="93">
        <f t="shared" si="660"/>
        <v>0</v>
      </c>
      <c r="AD2645" s="93">
        <f t="shared" si="661"/>
        <v>0</v>
      </c>
      <c r="AE2645" s="93">
        <f t="shared" si="662"/>
        <v>0</v>
      </c>
      <c r="AF2645" s="93">
        <f t="shared" si="663"/>
        <v>0</v>
      </c>
      <c r="AG2645" s="93">
        <f t="shared" si="664"/>
        <v>0</v>
      </c>
      <c r="AH2645" s="93">
        <f t="shared" si="665"/>
        <v>0</v>
      </c>
      <c r="AI2645" s="88" t="s">
        <v>55</v>
      </c>
      <c r="AJ2645" s="93">
        <f t="shared" si="666"/>
        <v>0</v>
      </c>
      <c r="AK2645" s="93">
        <f t="shared" si="667"/>
        <v>0</v>
      </c>
      <c r="AL2645" s="93">
        <f t="shared" si="668"/>
        <v>0</v>
      </c>
      <c r="AN2645" s="93">
        <v>21</v>
      </c>
      <c r="AO2645" s="93">
        <f t="shared" si="669"/>
        <v>0</v>
      </c>
      <c r="AP2645" s="93">
        <f t="shared" si="670"/>
        <v>0</v>
      </c>
      <c r="AQ2645" s="94" t="s">
        <v>118</v>
      </c>
      <c r="AV2645" s="93">
        <f t="shared" si="671"/>
        <v>0</v>
      </c>
      <c r="AW2645" s="93">
        <f t="shared" si="672"/>
        <v>0</v>
      </c>
      <c r="AX2645" s="93">
        <f t="shared" si="673"/>
        <v>0</v>
      </c>
      <c r="AY2645" s="94" t="s">
        <v>3494</v>
      </c>
      <c r="AZ2645" s="94" t="s">
        <v>3495</v>
      </c>
      <c r="BA2645" s="88" t="s">
        <v>67</v>
      </c>
      <c r="BC2645" s="93">
        <f t="shared" si="674"/>
        <v>0</v>
      </c>
      <c r="BD2645" s="93">
        <f t="shared" si="675"/>
        <v>0</v>
      </c>
      <c r="BE2645" s="93">
        <v>0</v>
      </c>
      <c r="BF2645" s="93">
        <f t="shared" si="676"/>
        <v>0</v>
      </c>
      <c r="BH2645" s="93">
        <f t="shared" si="677"/>
        <v>0</v>
      </c>
      <c r="BI2645" s="93">
        <f t="shared" si="678"/>
        <v>0</v>
      </c>
      <c r="BJ2645" s="93">
        <f t="shared" si="679"/>
        <v>0</v>
      </c>
      <c r="BK2645" s="93"/>
      <c r="BL2645" s="93"/>
      <c r="BW2645" s="93" t="str">
        <f t="shared" si="680"/>
        <v>21</v>
      </c>
      <c r="BX2645" s="2" t="s">
        <v>3807</v>
      </c>
    </row>
    <row r="2646" spans="1:76" s="81" customFormat="1" ht="25.5" x14ac:dyDescent="0.25">
      <c r="A2646" s="66" t="s">
        <v>3826</v>
      </c>
      <c r="B2646" s="72" t="s">
        <v>55</v>
      </c>
      <c r="C2646" s="72" t="s">
        <v>3809</v>
      </c>
      <c r="D2646" s="174" t="s">
        <v>3810</v>
      </c>
      <c r="E2646" s="174"/>
      <c r="F2646" s="72" t="s">
        <v>3514</v>
      </c>
      <c r="G2646" s="90">
        <v>4</v>
      </c>
      <c r="H2646" s="91"/>
      <c r="I2646" s="92" t="s">
        <v>63</v>
      </c>
      <c r="J2646" s="90">
        <f t="shared" si="653"/>
        <v>0</v>
      </c>
      <c r="K2646" s="90">
        <f t="shared" si="654"/>
        <v>0</v>
      </c>
      <c r="L2646" s="90">
        <f t="shared" si="655"/>
        <v>0</v>
      </c>
      <c r="M2646" s="90">
        <f t="shared" si="656"/>
        <v>0</v>
      </c>
      <c r="N2646" s="90">
        <v>0</v>
      </c>
      <c r="O2646" s="90">
        <f t="shared" si="657"/>
        <v>0</v>
      </c>
      <c r="P2646" s="92" t="s">
        <v>1647</v>
      </c>
      <c r="Z2646" s="93">
        <f t="shared" si="658"/>
        <v>0</v>
      </c>
      <c r="AB2646" s="93">
        <f t="shared" si="659"/>
        <v>0</v>
      </c>
      <c r="AC2646" s="93">
        <f t="shared" si="660"/>
        <v>0</v>
      </c>
      <c r="AD2646" s="93">
        <f t="shared" si="661"/>
        <v>0</v>
      </c>
      <c r="AE2646" s="93">
        <f t="shared" si="662"/>
        <v>0</v>
      </c>
      <c r="AF2646" s="93">
        <f t="shared" si="663"/>
        <v>0</v>
      </c>
      <c r="AG2646" s="93">
        <f t="shared" si="664"/>
        <v>0</v>
      </c>
      <c r="AH2646" s="93">
        <f t="shared" si="665"/>
        <v>0</v>
      </c>
      <c r="AI2646" s="88" t="s">
        <v>55</v>
      </c>
      <c r="AJ2646" s="93">
        <f t="shared" si="666"/>
        <v>0</v>
      </c>
      <c r="AK2646" s="93">
        <f t="shared" si="667"/>
        <v>0</v>
      </c>
      <c r="AL2646" s="93">
        <f t="shared" si="668"/>
        <v>0</v>
      </c>
      <c r="AN2646" s="93">
        <v>21</v>
      </c>
      <c r="AO2646" s="93">
        <f t="shared" si="669"/>
        <v>0</v>
      </c>
      <c r="AP2646" s="93">
        <f t="shared" si="670"/>
        <v>0</v>
      </c>
      <c r="AQ2646" s="94" t="s">
        <v>118</v>
      </c>
      <c r="AV2646" s="93">
        <f t="shared" si="671"/>
        <v>0</v>
      </c>
      <c r="AW2646" s="93">
        <f t="shared" si="672"/>
        <v>0</v>
      </c>
      <c r="AX2646" s="93">
        <f t="shared" si="673"/>
        <v>0</v>
      </c>
      <c r="AY2646" s="94" t="s">
        <v>3494</v>
      </c>
      <c r="AZ2646" s="94" t="s">
        <v>3495</v>
      </c>
      <c r="BA2646" s="88" t="s">
        <v>67</v>
      </c>
      <c r="BC2646" s="93">
        <f t="shared" si="674"/>
        <v>0</v>
      </c>
      <c r="BD2646" s="93">
        <f t="shared" si="675"/>
        <v>0</v>
      </c>
      <c r="BE2646" s="93">
        <v>0</v>
      </c>
      <c r="BF2646" s="93">
        <f t="shared" si="676"/>
        <v>0</v>
      </c>
      <c r="BH2646" s="93">
        <f t="shared" si="677"/>
        <v>0</v>
      </c>
      <c r="BI2646" s="93">
        <f t="shared" si="678"/>
        <v>0</v>
      </c>
      <c r="BJ2646" s="93">
        <f t="shared" si="679"/>
        <v>0</v>
      </c>
      <c r="BK2646" s="93"/>
      <c r="BL2646" s="93"/>
      <c r="BW2646" s="93" t="str">
        <f t="shared" si="680"/>
        <v>21</v>
      </c>
      <c r="BX2646" s="2" t="s">
        <v>3810</v>
      </c>
    </row>
    <row r="2647" spans="1:76" s="81" customFormat="1" ht="25.5" x14ac:dyDescent="0.25">
      <c r="A2647" s="66" t="s">
        <v>3829</v>
      </c>
      <c r="B2647" s="72" t="s">
        <v>55</v>
      </c>
      <c r="C2647" s="72" t="s">
        <v>3812</v>
      </c>
      <c r="D2647" s="174" t="s">
        <v>3813</v>
      </c>
      <c r="E2647" s="174"/>
      <c r="F2647" s="72" t="s">
        <v>3514</v>
      </c>
      <c r="G2647" s="90">
        <v>1</v>
      </c>
      <c r="H2647" s="91"/>
      <c r="I2647" s="92" t="s">
        <v>63</v>
      </c>
      <c r="J2647" s="90">
        <f t="shared" si="653"/>
        <v>0</v>
      </c>
      <c r="K2647" s="90">
        <f t="shared" si="654"/>
        <v>0</v>
      </c>
      <c r="L2647" s="90">
        <f t="shared" si="655"/>
        <v>0</v>
      </c>
      <c r="M2647" s="90">
        <f t="shared" si="656"/>
        <v>0</v>
      </c>
      <c r="N2647" s="90">
        <v>0</v>
      </c>
      <c r="O2647" s="90">
        <f t="shared" si="657"/>
        <v>0</v>
      </c>
      <c r="P2647" s="92" t="s">
        <v>1647</v>
      </c>
      <c r="Z2647" s="93">
        <f t="shared" si="658"/>
        <v>0</v>
      </c>
      <c r="AB2647" s="93">
        <f t="shared" si="659"/>
        <v>0</v>
      </c>
      <c r="AC2647" s="93">
        <f t="shared" si="660"/>
        <v>0</v>
      </c>
      <c r="AD2647" s="93">
        <f t="shared" si="661"/>
        <v>0</v>
      </c>
      <c r="AE2647" s="93">
        <f t="shared" si="662"/>
        <v>0</v>
      </c>
      <c r="AF2647" s="93">
        <f t="shared" si="663"/>
        <v>0</v>
      </c>
      <c r="AG2647" s="93">
        <f t="shared" si="664"/>
        <v>0</v>
      </c>
      <c r="AH2647" s="93">
        <f t="shared" si="665"/>
        <v>0</v>
      </c>
      <c r="AI2647" s="88" t="s">
        <v>55</v>
      </c>
      <c r="AJ2647" s="93">
        <f t="shared" si="666"/>
        <v>0</v>
      </c>
      <c r="AK2647" s="93">
        <f t="shared" si="667"/>
        <v>0</v>
      </c>
      <c r="AL2647" s="93">
        <f t="shared" si="668"/>
        <v>0</v>
      </c>
      <c r="AN2647" s="93">
        <v>21</v>
      </c>
      <c r="AO2647" s="93">
        <f t="shared" si="669"/>
        <v>0</v>
      </c>
      <c r="AP2647" s="93">
        <f t="shared" si="670"/>
        <v>0</v>
      </c>
      <c r="AQ2647" s="94" t="s">
        <v>118</v>
      </c>
      <c r="AV2647" s="93">
        <f t="shared" si="671"/>
        <v>0</v>
      </c>
      <c r="AW2647" s="93">
        <f t="shared" si="672"/>
        <v>0</v>
      </c>
      <c r="AX2647" s="93">
        <f t="shared" si="673"/>
        <v>0</v>
      </c>
      <c r="AY2647" s="94" t="s">
        <v>3494</v>
      </c>
      <c r="AZ2647" s="94" t="s">
        <v>3495</v>
      </c>
      <c r="BA2647" s="88" t="s">
        <v>67</v>
      </c>
      <c r="BC2647" s="93">
        <f t="shared" si="674"/>
        <v>0</v>
      </c>
      <c r="BD2647" s="93">
        <f t="shared" si="675"/>
        <v>0</v>
      </c>
      <c r="BE2647" s="93">
        <v>0</v>
      </c>
      <c r="BF2647" s="93">
        <f t="shared" si="676"/>
        <v>0</v>
      </c>
      <c r="BH2647" s="93">
        <f t="shared" si="677"/>
        <v>0</v>
      </c>
      <c r="BI2647" s="93">
        <f t="shared" si="678"/>
        <v>0</v>
      </c>
      <c r="BJ2647" s="93">
        <f t="shared" si="679"/>
        <v>0</v>
      </c>
      <c r="BK2647" s="93"/>
      <c r="BL2647" s="93"/>
      <c r="BW2647" s="93" t="str">
        <f t="shared" si="680"/>
        <v>21</v>
      </c>
      <c r="BX2647" s="2" t="s">
        <v>3813</v>
      </c>
    </row>
    <row r="2648" spans="1:76" s="81" customFormat="1" ht="25.5" x14ac:dyDescent="0.25">
      <c r="A2648" s="66" t="s">
        <v>3832</v>
      </c>
      <c r="B2648" s="72" t="s">
        <v>55</v>
      </c>
      <c r="C2648" s="72" t="s">
        <v>3815</v>
      </c>
      <c r="D2648" s="174" t="s">
        <v>3816</v>
      </c>
      <c r="E2648" s="174"/>
      <c r="F2648" s="72" t="s">
        <v>3514</v>
      </c>
      <c r="G2648" s="90">
        <v>1</v>
      </c>
      <c r="H2648" s="91"/>
      <c r="I2648" s="92" t="s">
        <v>63</v>
      </c>
      <c r="J2648" s="90">
        <f t="shared" si="653"/>
        <v>0</v>
      </c>
      <c r="K2648" s="90">
        <f t="shared" si="654"/>
        <v>0</v>
      </c>
      <c r="L2648" s="90">
        <f t="shared" si="655"/>
        <v>0</v>
      </c>
      <c r="M2648" s="90">
        <f t="shared" si="656"/>
        <v>0</v>
      </c>
      <c r="N2648" s="90">
        <v>0</v>
      </c>
      <c r="O2648" s="90">
        <f t="shared" si="657"/>
        <v>0</v>
      </c>
      <c r="P2648" s="92" t="s">
        <v>1647</v>
      </c>
      <c r="Z2648" s="93">
        <f t="shared" si="658"/>
        <v>0</v>
      </c>
      <c r="AB2648" s="93">
        <f t="shared" si="659"/>
        <v>0</v>
      </c>
      <c r="AC2648" s="93">
        <f t="shared" si="660"/>
        <v>0</v>
      </c>
      <c r="AD2648" s="93">
        <f t="shared" si="661"/>
        <v>0</v>
      </c>
      <c r="AE2648" s="93">
        <f t="shared" si="662"/>
        <v>0</v>
      </c>
      <c r="AF2648" s="93">
        <f t="shared" si="663"/>
        <v>0</v>
      </c>
      <c r="AG2648" s="93">
        <f t="shared" si="664"/>
        <v>0</v>
      </c>
      <c r="AH2648" s="93">
        <f t="shared" si="665"/>
        <v>0</v>
      </c>
      <c r="AI2648" s="88" t="s">
        <v>55</v>
      </c>
      <c r="AJ2648" s="93">
        <f t="shared" si="666"/>
        <v>0</v>
      </c>
      <c r="AK2648" s="93">
        <f t="shared" si="667"/>
        <v>0</v>
      </c>
      <c r="AL2648" s="93">
        <f t="shared" si="668"/>
        <v>0</v>
      </c>
      <c r="AN2648" s="93">
        <v>21</v>
      </c>
      <c r="AO2648" s="93">
        <f t="shared" si="669"/>
        <v>0</v>
      </c>
      <c r="AP2648" s="93">
        <f t="shared" si="670"/>
        <v>0</v>
      </c>
      <c r="AQ2648" s="94" t="s">
        <v>118</v>
      </c>
      <c r="AV2648" s="93">
        <f t="shared" si="671"/>
        <v>0</v>
      </c>
      <c r="AW2648" s="93">
        <f t="shared" si="672"/>
        <v>0</v>
      </c>
      <c r="AX2648" s="93">
        <f t="shared" si="673"/>
        <v>0</v>
      </c>
      <c r="AY2648" s="94" t="s">
        <v>3494</v>
      </c>
      <c r="AZ2648" s="94" t="s">
        <v>3495</v>
      </c>
      <c r="BA2648" s="88" t="s">
        <v>67</v>
      </c>
      <c r="BC2648" s="93">
        <f t="shared" si="674"/>
        <v>0</v>
      </c>
      <c r="BD2648" s="93">
        <f t="shared" si="675"/>
        <v>0</v>
      </c>
      <c r="BE2648" s="93">
        <v>0</v>
      </c>
      <c r="BF2648" s="93">
        <f t="shared" si="676"/>
        <v>0</v>
      </c>
      <c r="BH2648" s="93">
        <f t="shared" si="677"/>
        <v>0</v>
      </c>
      <c r="BI2648" s="93">
        <f t="shared" si="678"/>
        <v>0</v>
      </c>
      <c r="BJ2648" s="93">
        <f t="shared" si="679"/>
        <v>0</v>
      </c>
      <c r="BK2648" s="93"/>
      <c r="BL2648" s="93"/>
      <c r="BW2648" s="93" t="str">
        <f t="shared" si="680"/>
        <v>21</v>
      </c>
      <c r="BX2648" s="2" t="s">
        <v>3816</v>
      </c>
    </row>
    <row r="2649" spans="1:76" s="81" customFormat="1" ht="25.5" x14ac:dyDescent="0.25">
      <c r="A2649" s="66" t="s">
        <v>3835</v>
      </c>
      <c r="B2649" s="72" t="s">
        <v>55</v>
      </c>
      <c r="C2649" s="72" t="s">
        <v>3818</v>
      </c>
      <c r="D2649" s="174" t="s">
        <v>3819</v>
      </c>
      <c r="E2649" s="174"/>
      <c r="F2649" s="72" t="s">
        <v>3514</v>
      </c>
      <c r="G2649" s="90">
        <v>1</v>
      </c>
      <c r="H2649" s="91"/>
      <c r="I2649" s="92" t="s">
        <v>63</v>
      </c>
      <c r="J2649" s="90">
        <f t="shared" si="653"/>
        <v>0</v>
      </c>
      <c r="K2649" s="90">
        <f t="shared" si="654"/>
        <v>0</v>
      </c>
      <c r="L2649" s="90">
        <f t="shared" si="655"/>
        <v>0</v>
      </c>
      <c r="M2649" s="90">
        <f t="shared" si="656"/>
        <v>0</v>
      </c>
      <c r="N2649" s="90">
        <v>0</v>
      </c>
      <c r="O2649" s="90">
        <f t="shared" si="657"/>
        <v>0</v>
      </c>
      <c r="P2649" s="92" t="s">
        <v>1647</v>
      </c>
      <c r="Z2649" s="93">
        <f t="shared" si="658"/>
        <v>0</v>
      </c>
      <c r="AB2649" s="93">
        <f t="shared" si="659"/>
        <v>0</v>
      </c>
      <c r="AC2649" s="93">
        <f t="shared" si="660"/>
        <v>0</v>
      </c>
      <c r="AD2649" s="93">
        <f t="shared" si="661"/>
        <v>0</v>
      </c>
      <c r="AE2649" s="93">
        <f t="shared" si="662"/>
        <v>0</v>
      </c>
      <c r="AF2649" s="93">
        <f t="shared" si="663"/>
        <v>0</v>
      </c>
      <c r="AG2649" s="93">
        <f t="shared" si="664"/>
        <v>0</v>
      </c>
      <c r="AH2649" s="93">
        <f t="shared" si="665"/>
        <v>0</v>
      </c>
      <c r="AI2649" s="88" t="s">
        <v>55</v>
      </c>
      <c r="AJ2649" s="93">
        <f t="shared" si="666"/>
        <v>0</v>
      </c>
      <c r="AK2649" s="93">
        <f t="shared" si="667"/>
        <v>0</v>
      </c>
      <c r="AL2649" s="93">
        <f t="shared" si="668"/>
        <v>0</v>
      </c>
      <c r="AN2649" s="93">
        <v>21</v>
      </c>
      <c r="AO2649" s="93">
        <f t="shared" si="669"/>
        <v>0</v>
      </c>
      <c r="AP2649" s="93">
        <f t="shared" si="670"/>
        <v>0</v>
      </c>
      <c r="AQ2649" s="94" t="s">
        <v>118</v>
      </c>
      <c r="AV2649" s="93">
        <f t="shared" si="671"/>
        <v>0</v>
      </c>
      <c r="AW2649" s="93">
        <f t="shared" si="672"/>
        <v>0</v>
      </c>
      <c r="AX2649" s="93">
        <f t="shared" si="673"/>
        <v>0</v>
      </c>
      <c r="AY2649" s="94" t="s">
        <v>3494</v>
      </c>
      <c r="AZ2649" s="94" t="s">
        <v>3495</v>
      </c>
      <c r="BA2649" s="88" t="s">
        <v>67</v>
      </c>
      <c r="BC2649" s="93">
        <f t="shared" si="674"/>
        <v>0</v>
      </c>
      <c r="BD2649" s="93">
        <f t="shared" si="675"/>
        <v>0</v>
      </c>
      <c r="BE2649" s="93">
        <v>0</v>
      </c>
      <c r="BF2649" s="93">
        <f t="shared" si="676"/>
        <v>0</v>
      </c>
      <c r="BH2649" s="93">
        <f t="shared" si="677"/>
        <v>0</v>
      </c>
      <c r="BI2649" s="93">
        <f t="shared" si="678"/>
        <v>0</v>
      </c>
      <c r="BJ2649" s="93">
        <f t="shared" si="679"/>
        <v>0</v>
      </c>
      <c r="BK2649" s="93"/>
      <c r="BL2649" s="93"/>
      <c r="BW2649" s="93" t="str">
        <f t="shared" si="680"/>
        <v>21</v>
      </c>
      <c r="BX2649" s="2" t="s">
        <v>3819</v>
      </c>
    </row>
    <row r="2650" spans="1:76" s="81" customFormat="1" ht="25.5" x14ac:dyDescent="0.25">
      <c r="A2650" s="66" t="s">
        <v>3838</v>
      </c>
      <c r="B2650" s="72" t="s">
        <v>55</v>
      </c>
      <c r="C2650" s="72" t="s">
        <v>3821</v>
      </c>
      <c r="D2650" s="174" t="s">
        <v>3822</v>
      </c>
      <c r="E2650" s="174"/>
      <c r="F2650" s="72" t="s">
        <v>3596</v>
      </c>
      <c r="G2650" s="90">
        <v>12</v>
      </c>
      <c r="H2650" s="91"/>
      <c r="I2650" s="92" t="s">
        <v>63</v>
      </c>
      <c r="J2650" s="90">
        <f t="shared" si="653"/>
        <v>0</v>
      </c>
      <c r="K2650" s="90">
        <f t="shared" si="654"/>
        <v>0</v>
      </c>
      <c r="L2650" s="90">
        <f t="shared" si="655"/>
        <v>0</v>
      </c>
      <c r="M2650" s="90">
        <f t="shared" si="656"/>
        <v>0</v>
      </c>
      <c r="N2650" s="90">
        <v>0</v>
      </c>
      <c r="O2650" s="90">
        <f t="shared" si="657"/>
        <v>0</v>
      </c>
      <c r="P2650" s="92" t="s">
        <v>1647</v>
      </c>
      <c r="Z2650" s="93">
        <f t="shared" si="658"/>
        <v>0</v>
      </c>
      <c r="AB2650" s="93">
        <f t="shared" si="659"/>
        <v>0</v>
      </c>
      <c r="AC2650" s="93">
        <f t="shared" si="660"/>
        <v>0</v>
      </c>
      <c r="AD2650" s="93">
        <f t="shared" si="661"/>
        <v>0</v>
      </c>
      <c r="AE2650" s="93">
        <f t="shared" si="662"/>
        <v>0</v>
      </c>
      <c r="AF2650" s="93">
        <f t="shared" si="663"/>
        <v>0</v>
      </c>
      <c r="AG2650" s="93">
        <f t="shared" si="664"/>
        <v>0</v>
      </c>
      <c r="AH2650" s="93">
        <f t="shared" si="665"/>
        <v>0</v>
      </c>
      <c r="AI2650" s="88" t="s">
        <v>55</v>
      </c>
      <c r="AJ2650" s="93">
        <f t="shared" si="666"/>
        <v>0</v>
      </c>
      <c r="AK2650" s="93">
        <f t="shared" si="667"/>
        <v>0</v>
      </c>
      <c r="AL2650" s="93">
        <f t="shared" si="668"/>
        <v>0</v>
      </c>
      <c r="AN2650" s="93">
        <v>21</v>
      </c>
      <c r="AO2650" s="93">
        <f t="shared" si="669"/>
        <v>0</v>
      </c>
      <c r="AP2650" s="93">
        <f t="shared" si="670"/>
        <v>0</v>
      </c>
      <c r="AQ2650" s="94" t="s">
        <v>118</v>
      </c>
      <c r="AV2650" s="93">
        <f t="shared" si="671"/>
        <v>0</v>
      </c>
      <c r="AW2650" s="93">
        <f t="shared" si="672"/>
        <v>0</v>
      </c>
      <c r="AX2650" s="93">
        <f t="shared" si="673"/>
        <v>0</v>
      </c>
      <c r="AY2650" s="94" t="s">
        <v>3494</v>
      </c>
      <c r="AZ2650" s="94" t="s">
        <v>3495</v>
      </c>
      <c r="BA2650" s="88" t="s">
        <v>67</v>
      </c>
      <c r="BC2650" s="93">
        <f t="shared" si="674"/>
        <v>0</v>
      </c>
      <c r="BD2650" s="93">
        <f t="shared" si="675"/>
        <v>0</v>
      </c>
      <c r="BE2650" s="93">
        <v>0</v>
      </c>
      <c r="BF2650" s="93">
        <f t="shared" si="676"/>
        <v>0</v>
      </c>
      <c r="BH2650" s="93">
        <f t="shared" si="677"/>
        <v>0</v>
      </c>
      <c r="BI2650" s="93">
        <f t="shared" si="678"/>
        <v>0</v>
      </c>
      <c r="BJ2650" s="93">
        <f t="shared" si="679"/>
        <v>0</v>
      </c>
      <c r="BK2650" s="93"/>
      <c r="BL2650" s="93"/>
      <c r="BW2650" s="93" t="str">
        <f t="shared" si="680"/>
        <v>21</v>
      </c>
      <c r="BX2650" s="2" t="s">
        <v>3822</v>
      </c>
    </row>
    <row r="2651" spans="1:76" s="81" customFormat="1" ht="25.5" x14ac:dyDescent="0.25">
      <c r="A2651" s="66" t="s">
        <v>3841</v>
      </c>
      <c r="B2651" s="72" t="s">
        <v>55</v>
      </c>
      <c r="C2651" s="72" t="s">
        <v>3824</v>
      </c>
      <c r="D2651" s="174" t="s">
        <v>3825</v>
      </c>
      <c r="E2651" s="174"/>
      <c r="F2651" s="72" t="s">
        <v>3596</v>
      </c>
      <c r="G2651" s="90">
        <v>8</v>
      </c>
      <c r="H2651" s="91"/>
      <c r="I2651" s="92" t="s">
        <v>63</v>
      </c>
      <c r="J2651" s="90">
        <f t="shared" si="653"/>
        <v>0</v>
      </c>
      <c r="K2651" s="90">
        <f t="shared" si="654"/>
        <v>0</v>
      </c>
      <c r="L2651" s="90">
        <f t="shared" si="655"/>
        <v>0</v>
      </c>
      <c r="M2651" s="90">
        <f t="shared" si="656"/>
        <v>0</v>
      </c>
      <c r="N2651" s="90">
        <v>0</v>
      </c>
      <c r="O2651" s="90">
        <f t="shared" si="657"/>
        <v>0</v>
      </c>
      <c r="P2651" s="92" t="s">
        <v>1647</v>
      </c>
      <c r="Z2651" s="93">
        <f t="shared" si="658"/>
        <v>0</v>
      </c>
      <c r="AB2651" s="93">
        <f t="shared" si="659"/>
        <v>0</v>
      </c>
      <c r="AC2651" s="93">
        <f t="shared" si="660"/>
        <v>0</v>
      </c>
      <c r="AD2651" s="93">
        <f t="shared" si="661"/>
        <v>0</v>
      </c>
      <c r="AE2651" s="93">
        <f t="shared" si="662"/>
        <v>0</v>
      </c>
      <c r="AF2651" s="93">
        <f t="shared" si="663"/>
        <v>0</v>
      </c>
      <c r="AG2651" s="93">
        <f t="shared" si="664"/>
        <v>0</v>
      </c>
      <c r="AH2651" s="93">
        <f t="shared" si="665"/>
        <v>0</v>
      </c>
      <c r="AI2651" s="88" t="s">
        <v>55</v>
      </c>
      <c r="AJ2651" s="93">
        <f t="shared" si="666"/>
        <v>0</v>
      </c>
      <c r="AK2651" s="93">
        <f t="shared" si="667"/>
        <v>0</v>
      </c>
      <c r="AL2651" s="93">
        <f t="shared" si="668"/>
        <v>0</v>
      </c>
      <c r="AN2651" s="93">
        <v>21</v>
      </c>
      <c r="AO2651" s="93">
        <f t="shared" si="669"/>
        <v>0</v>
      </c>
      <c r="AP2651" s="93">
        <f t="shared" si="670"/>
        <v>0</v>
      </c>
      <c r="AQ2651" s="94" t="s">
        <v>118</v>
      </c>
      <c r="AV2651" s="93">
        <f t="shared" si="671"/>
        <v>0</v>
      </c>
      <c r="AW2651" s="93">
        <f t="shared" si="672"/>
        <v>0</v>
      </c>
      <c r="AX2651" s="93">
        <f t="shared" si="673"/>
        <v>0</v>
      </c>
      <c r="AY2651" s="94" t="s">
        <v>3494</v>
      </c>
      <c r="AZ2651" s="94" t="s">
        <v>3495</v>
      </c>
      <c r="BA2651" s="88" t="s">
        <v>67</v>
      </c>
      <c r="BC2651" s="93">
        <f t="shared" si="674"/>
        <v>0</v>
      </c>
      <c r="BD2651" s="93">
        <f t="shared" si="675"/>
        <v>0</v>
      </c>
      <c r="BE2651" s="93">
        <v>0</v>
      </c>
      <c r="BF2651" s="93">
        <f t="shared" si="676"/>
        <v>0</v>
      </c>
      <c r="BH2651" s="93">
        <f t="shared" si="677"/>
        <v>0</v>
      </c>
      <c r="BI2651" s="93">
        <f t="shared" si="678"/>
        <v>0</v>
      </c>
      <c r="BJ2651" s="93">
        <f t="shared" si="679"/>
        <v>0</v>
      </c>
      <c r="BK2651" s="93"/>
      <c r="BL2651" s="93"/>
      <c r="BW2651" s="93" t="str">
        <f t="shared" si="680"/>
        <v>21</v>
      </c>
      <c r="BX2651" s="2" t="s">
        <v>3825</v>
      </c>
    </row>
    <row r="2652" spans="1:76" s="81" customFormat="1" ht="25.5" x14ac:dyDescent="0.25">
      <c r="A2652" s="66" t="s">
        <v>3844</v>
      </c>
      <c r="B2652" s="72" t="s">
        <v>55</v>
      </c>
      <c r="C2652" s="72" t="s">
        <v>3827</v>
      </c>
      <c r="D2652" s="174" t="s">
        <v>3828</v>
      </c>
      <c r="E2652" s="174"/>
      <c r="F2652" s="72" t="s">
        <v>3596</v>
      </c>
      <c r="G2652" s="90">
        <v>18</v>
      </c>
      <c r="H2652" s="91"/>
      <c r="I2652" s="92" t="s">
        <v>63</v>
      </c>
      <c r="J2652" s="90">
        <f t="shared" si="653"/>
        <v>0</v>
      </c>
      <c r="K2652" s="90">
        <f t="shared" si="654"/>
        <v>0</v>
      </c>
      <c r="L2652" s="90">
        <f t="shared" si="655"/>
        <v>0</v>
      </c>
      <c r="M2652" s="90">
        <f t="shared" si="656"/>
        <v>0</v>
      </c>
      <c r="N2652" s="90">
        <v>0</v>
      </c>
      <c r="O2652" s="90">
        <f t="shared" si="657"/>
        <v>0</v>
      </c>
      <c r="P2652" s="92" t="s">
        <v>1647</v>
      </c>
      <c r="Z2652" s="93">
        <f t="shared" si="658"/>
        <v>0</v>
      </c>
      <c r="AB2652" s="93">
        <f t="shared" si="659"/>
        <v>0</v>
      </c>
      <c r="AC2652" s="93">
        <f t="shared" si="660"/>
        <v>0</v>
      </c>
      <c r="AD2652" s="93">
        <f t="shared" si="661"/>
        <v>0</v>
      </c>
      <c r="AE2652" s="93">
        <f t="shared" si="662"/>
        <v>0</v>
      </c>
      <c r="AF2652" s="93">
        <f t="shared" si="663"/>
        <v>0</v>
      </c>
      <c r="AG2652" s="93">
        <f t="shared" si="664"/>
        <v>0</v>
      </c>
      <c r="AH2652" s="93">
        <f t="shared" si="665"/>
        <v>0</v>
      </c>
      <c r="AI2652" s="88" t="s">
        <v>55</v>
      </c>
      <c r="AJ2652" s="93">
        <f t="shared" si="666"/>
        <v>0</v>
      </c>
      <c r="AK2652" s="93">
        <f t="shared" si="667"/>
        <v>0</v>
      </c>
      <c r="AL2652" s="93">
        <f t="shared" si="668"/>
        <v>0</v>
      </c>
      <c r="AN2652" s="93">
        <v>21</v>
      </c>
      <c r="AO2652" s="93">
        <f t="shared" si="669"/>
        <v>0</v>
      </c>
      <c r="AP2652" s="93">
        <f t="shared" si="670"/>
        <v>0</v>
      </c>
      <c r="AQ2652" s="94" t="s">
        <v>118</v>
      </c>
      <c r="AV2652" s="93">
        <f t="shared" si="671"/>
        <v>0</v>
      </c>
      <c r="AW2652" s="93">
        <f t="shared" si="672"/>
        <v>0</v>
      </c>
      <c r="AX2652" s="93">
        <f t="shared" si="673"/>
        <v>0</v>
      </c>
      <c r="AY2652" s="94" t="s">
        <v>3494</v>
      </c>
      <c r="AZ2652" s="94" t="s">
        <v>3495</v>
      </c>
      <c r="BA2652" s="88" t="s">
        <v>67</v>
      </c>
      <c r="BC2652" s="93">
        <f t="shared" si="674"/>
        <v>0</v>
      </c>
      <c r="BD2652" s="93">
        <f t="shared" si="675"/>
        <v>0</v>
      </c>
      <c r="BE2652" s="93">
        <v>0</v>
      </c>
      <c r="BF2652" s="93">
        <f t="shared" si="676"/>
        <v>0</v>
      </c>
      <c r="BH2652" s="93">
        <f t="shared" si="677"/>
        <v>0</v>
      </c>
      <c r="BI2652" s="93">
        <f t="shared" si="678"/>
        <v>0</v>
      </c>
      <c r="BJ2652" s="93">
        <f t="shared" si="679"/>
        <v>0</v>
      </c>
      <c r="BK2652" s="93"/>
      <c r="BL2652" s="93"/>
      <c r="BW2652" s="93" t="str">
        <f t="shared" si="680"/>
        <v>21</v>
      </c>
      <c r="BX2652" s="2" t="s">
        <v>3828</v>
      </c>
    </row>
    <row r="2653" spans="1:76" s="81" customFormat="1" ht="25.5" x14ac:dyDescent="0.25">
      <c r="A2653" s="66" t="s">
        <v>3847</v>
      </c>
      <c r="B2653" s="72" t="s">
        <v>55</v>
      </c>
      <c r="C2653" s="72" t="s">
        <v>3830</v>
      </c>
      <c r="D2653" s="174" t="s">
        <v>3831</v>
      </c>
      <c r="E2653" s="174"/>
      <c r="F2653" s="72" t="s">
        <v>3596</v>
      </c>
      <c r="G2653" s="90">
        <v>24</v>
      </c>
      <c r="H2653" s="91"/>
      <c r="I2653" s="92" t="s">
        <v>63</v>
      </c>
      <c r="J2653" s="90">
        <f t="shared" si="653"/>
        <v>0</v>
      </c>
      <c r="K2653" s="90">
        <f t="shared" si="654"/>
        <v>0</v>
      </c>
      <c r="L2653" s="90">
        <f t="shared" si="655"/>
        <v>0</v>
      </c>
      <c r="M2653" s="90">
        <f t="shared" si="656"/>
        <v>0</v>
      </c>
      <c r="N2653" s="90">
        <v>0</v>
      </c>
      <c r="O2653" s="90">
        <f t="shared" si="657"/>
        <v>0</v>
      </c>
      <c r="P2653" s="92" t="s">
        <v>1647</v>
      </c>
      <c r="Z2653" s="93">
        <f t="shared" si="658"/>
        <v>0</v>
      </c>
      <c r="AB2653" s="93">
        <f t="shared" si="659"/>
        <v>0</v>
      </c>
      <c r="AC2653" s="93">
        <f t="shared" si="660"/>
        <v>0</v>
      </c>
      <c r="AD2653" s="93">
        <f t="shared" si="661"/>
        <v>0</v>
      </c>
      <c r="AE2653" s="93">
        <f t="shared" si="662"/>
        <v>0</v>
      </c>
      <c r="AF2653" s="93">
        <f t="shared" si="663"/>
        <v>0</v>
      </c>
      <c r="AG2653" s="93">
        <f t="shared" si="664"/>
        <v>0</v>
      </c>
      <c r="AH2653" s="93">
        <f t="shared" si="665"/>
        <v>0</v>
      </c>
      <c r="AI2653" s="88" t="s">
        <v>55</v>
      </c>
      <c r="AJ2653" s="93">
        <f t="shared" si="666"/>
        <v>0</v>
      </c>
      <c r="AK2653" s="93">
        <f t="shared" si="667"/>
        <v>0</v>
      </c>
      <c r="AL2653" s="93">
        <f t="shared" si="668"/>
        <v>0</v>
      </c>
      <c r="AN2653" s="93">
        <v>21</v>
      </c>
      <c r="AO2653" s="93">
        <f t="shared" si="669"/>
        <v>0</v>
      </c>
      <c r="AP2653" s="93">
        <f t="shared" si="670"/>
        <v>0</v>
      </c>
      <c r="AQ2653" s="94" t="s">
        <v>118</v>
      </c>
      <c r="AV2653" s="93">
        <f t="shared" si="671"/>
        <v>0</v>
      </c>
      <c r="AW2653" s="93">
        <f t="shared" si="672"/>
        <v>0</v>
      </c>
      <c r="AX2653" s="93">
        <f t="shared" si="673"/>
        <v>0</v>
      </c>
      <c r="AY2653" s="94" t="s">
        <v>3494</v>
      </c>
      <c r="AZ2653" s="94" t="s">
        <v>3495</v>
      </c>
      <c r="BA2653" s="88" t="s">
        <v>67</v>
      </c>
      <c r="BC2653" s="93">
        <f t="shared" si="674"/>
        <v>0</v>
      </c>
      <c r="BD2653" s="93">
        <f t="shared" si="675"/>
        <v>0</v>
      </c>
      <c r="BE2653" s="93">
        <v>0</v>
      </c>
      <c r="BF2653" s="93">
        <f t="shared" si="676"/>
        <v>0</v>
      </c>
      <c r="BH2653" s="93">
        <f t="shared" si="677"/>
        <v>0</v>
      </c>
      <c r="BI2653" s="93">
        <f t="shared" si="678"/>
        <v>0</v>
      </c>
      <c r="BJ2653" s="93">
        <f t="shared" si="679"/>
        <v>0</v>
      </c>
      <c r="BK2653" s="93"/>
      <c r="BL2653" s="93"/>
      <c r="BW2653" s="93" t="str">
        <f t="shared" si="680"/>
        <v>21</v>
      </c>
      <c r="BX2653" s="2" t="s">
        <v>3831</v>
      </c>
    </row>
    <row r="2654" spans="1:76" s="81" customFormat="1" ht="25.5" x14ac:dyDescent="0.25">
      <c r="A2654" s="66" t="s">
        <v>3850</v>
      </c>
      <c r="B2654" s="72" t="s">
        <v>55</v>
      </c>
      <c r="C2654" s="72" t="s">
        <v>3833</v>
      </c>
      <c r="D2654" s="174" t="s">
        <v>3834</v>
      </c>
      <c r="E2654" s="174"/>
      <c r="F2654" s="72" t="s">
        <v>1447</v>
      </c>
      <c r="G2654" s="90">
        <v>3</v>
      </c>
      <c r="H2654" s="91"/>
      <c r="I2654" s="92" t="s">
        <v>63</v>
      </c>
      <c r="J2654" s="90">
        <f t="shared" si="653"/>
        <v>0</v>
      </c>
      <c r="K2654" s="90">
        <f t="shared" si="654"/>
        <v>0</v>
      </c>
      <c r="L2654" s="90">
        <f t="shared" si="655"/>
        <v>0</v>
      </c>
      <c r="M2654" s="90">
        <f t="shared" si="656"/>
        <v>0</v>
      </c>
      <c r="N2654" s="90">
        <v>0</v>
      </c>
      <c r="O2654" s="90">
        <f t="shared" si="657"/>
        <v>0</v>
      </c>
      <c r="P2654" s="92" t="s">
        <v>1647</v>
      </c>
      <c r="Z2654" s="93">
        <f t="shared" si="658"/>
        <v>0</v>
      </c>
      <c r="AB2654" s="93">
        <f t="shared" si="659"/>
        <v>0</v>
      </c>
      <c r="AC2654" s="93">
        <f t="shared" si="660"/>
        <v>0</v>
      </c>
      <c r="AD2654" s="93">
        <f t="shared" si="661"/>
        <v>0</v>
      </c>
      <c r="AE2654" s="93">
        <f t="shared" si="662"/>
        <v>0</v>
      </c>
      <c r="AF2654" s="93">
        <f t="shared" si="663"/>
        <v>0</v>
      </c>
      <c r="AG2654" s="93">
        <f t="shared" si="664"/>
        <v>0</v>
      </c>
      <c r="AH2654" s="93">
        <f t="shared" si="665"/>
        <v>0</v>
      </c>
      <c r="AI2654" s="88" t="s">
        <v>55</v>
      </c>
      <c r="AJ2654" s="93">
        <f t="shared" si="666"/>
        <v>0</v>
      </c>
      <c r="AK2654" s="93">
        <f t="shared" si="667"/>
        <v>0</v>
      </c>
      <c r="AL2654" s="93">
        <f t="shared" si="668"/>
        <v>0</v>
      </c>
      <c r="AN2654" s="93">
        <v>21</v>
      </c>
      <c r="AO2654" s="93">
        <f t="shared" si="669"/>
        <v>0</v>
      </c>
      <c r="AP2654" s="93">
        <f t="shared" si="670"/>
        <v>0</v>
      </c>
      <c r="AQ2654" s="94" t="s">
        <v>118</v>
      </c>
      <c r="AV2654" s="93">
        <f t="shared" si="671"/>
        <v>0</v>
      </c>
      <c r="AW2654" s="93">
        <f t="shared" si="672"/>
        <v>0</v>
      </c>
      <c r="AX2654" s="93">
        <f t="shared" si="673"/>
        <v>0</v>
      </c>
      <c r="AY2654" s="94" t="s">
        <v>3494</v>
      </c>
      <c r="AZ2654" s="94" t="s">
        <v>3495</v>
      </c>
      <c r="BA2654" s="88" t="s">
        <v>67</v>
      </c>
      <c r="BC2654" s="93">
        <f t="shared" si="674"/>
        <v>0</v>
      </c>
      <c r="BD2654" s="93">
        <f t="shared" si="675"/>
        <v>0</v>
      </c>
      <c r="BE2654" s="93">
        <v>0</v>
      </c>
      <c r="BF2654" s="93">
        <f t="shared" si="676"/>
        <v>0</v>
      </c>
      <c r="BH2654" s="93">
        <f t="shared" si="677"/>
        <v>0</v>
      </c>
      <c r="BI2654" s="93">
        <f t="shared" si="678"/>
        <v>0</v>
      </c>
      <c r="BJ2654" s="93">
        <f t="shared" si="679"/>
        <v>0</v>
      </c>
      <c r="BK2654" s="93"/>
      <c r="BL2654" s="93"/>
      <c r="BW2654" s="93" t="str">
        <f t="shared" si="680"/>
        <v>21</v>
      </c>
      <c r="BX2654" s="2" t="s">
        <v>3834</v>
      </c>
    </row>
    <row r="2655" spans="1:76" s="81" customFormat="1" ht="25.5" x14ac:dyDescent="0.25">
      <c r="A2655" s="66" t="s">
        <v>3853</v>
      </c>
      <c r="B2655" s="72" t="s">
        <v>55</v>
      </c>
      <c r="C2655" s="72" t="s">
        <v>3836</v>
      </c>
      <c r="D2655" s="174" t="s">
        <v>3837</v>
      </c>
      <c r="E2655" s="174"/>
      <c r="F2655" s="72" t="s">
        <v>1447</v>
      </c>
      <c r="G2655" s="90">
        <v>4</v>
      </c>
      <c r="H2655" s="91"/>
      <c r="I2655" s="92" t="s">
        <v>63</v>
      </c>
      <c r="J2655" s="90">
        <f t="shared" si="653"/>
        <v>0</v>
      </c>
      <c r="K2655" s="90">
        <f t="shared" si="654"/>
        <v>0</v>
      </c>
      <c r="L2655" s="90">
        <f t="shared" si="655"/>
        <v>0</v>
      </c>
      <c r="M2655" s="90">
        <f t="shared" si="656"/>
        <v>0</v>
      </c>
      <c r="N2655" s="90">
        <v>0</v>
      </c>
      <c r="O2655" s="90">
        <f t="shared" si="657"/>
        <v>0</v>
      </c>
      <c r="P2655" s="92" t="s">
        <v>1647</v>
      </c>
      <c r="Z2655" s="93">
        <f t="shared" si="658"/>
        <v>0</v>
      </c>
      <c r="AB2655" s="93">
        <f t="shared" si="659"/>
        <v>0</v>
      </c>
      <c r="AC2655" s="93">
        <f t="shared" si="660"/>
        <v>0</v>
      </c>
      <c r="AD2655" s="93">
        <f t="shared" si="661"/>
        <v>0</v>
      </c>
      <c r="AE2655" s="93">
        <f t="shared" si="662"/>
        <v>0</v>
      </c>
      <c r="AF2655" s="93">
        <f t="shared" si="663"/>
        <v>0</v>
      </c>
      <c r="AG2655" s="93">
        <f t="shared" si="664"/>
        <v>0</v>
      </c>
      <c r="AH2655" s="93">
        <f t="shared" si="665"/>
        <v>0</v>
      </c>
      <c r="AI2655" s="88" t="s">
        <v>55</v>
      </c>
      <c r="AJ2655" s="93">
        <f t="shared" si="666"/>
        <v>0</v>
      </c>
      <c r="AK2655" s="93">
        <f t="shared" si="667"/>
        <v>0</v>
      </c>
      <c r="AL2655" s="93">
        <f t="shared" si="668"/>
        <v>0</v>
      </c>
      <c r="AN2655" s="93">
        <v>21</v>
      </c>
      <c r="AO2655" s="93">
        <f t="shared" si="669"/>
        <v>0</v>
      </c>
      <c r="AP2655" s="93">
        <f t="shared" si="670"/>
        <v>0</v>
      </c>
      <c r="AQ2655" s="94" t="s">
        <v>118</v>
      </c>
      <c r="AV2655" s="93">
        <f t="shared" si="671"/>
        <v>0</v>
      </c>
      <c r="AW2655" s="93">
        <f t="shared" si="672"/>
        <v>0</v>
      </c>
      <c r="AX2655" s="93">
        <f t="shared" si="673"/>
        <v>0</v>
      </c>
      <c r="AY2655" s="94" t="s">
        <v>3494</v>
      </c>
      <c r="AZ2655" s="94" t="s">
        <v>3495</v>
      </c>
      <c r="BA2655" s="88" t="s">
        <v>67</v>
      </c>
      <c r="BC2655" s="93">
        <f t="shared" si="674"/>
        <v>0</v>
      </c>
      <c r="BD2655" s="93">
        <f t="shared" si="675"/>
        <v>0</v>
      </c>
      <c r="BE2655" s="93">
        <v>0</v>
      </c>
      <c r="BF2655" s="93">
        <f t="shared" si="676"/>
        <v>0</v>
      </c>
      <c r="BH2655" s="93">
        <f t="shared" si="677"/>
        <v>0</v>
      </c>
      <c r="BI2655" s="93">
        <f t="shared" si="678"/>
        <v>0</v>
      </c>
      <c r="BJ2655" s="93">
        <f t="shared" si="679"/>
        <v>0</v>
      </c>
      <c r="BK2655" s="93"/>
      <c r="BL2655" s="93"/>
      <c r="BW2655" s="93" t="str">
        <f t="shared" si="680"/>
        <v>21</v>
      </c>
      <c r="BX2655" s="2" t="s">
        <v>3837</v>
      </c>
    </row>
    <row r="2656" spans="1:76" s="81" customFormat="1" ht="25.5" x14ac:dyDescent="0.25">
      <c r="A2656" s="66" t="s">
        <v>3856</v>
      </c>
      <c r="B2656" s="72" t="s">
        <v>55</v>
      </c>
      <c r="C2656" s="72" t="s">
        <v>3839</v>
      </c>
      <c r="D2656" s="174" t="s">
        <v>3840</v>
      </c>
      <c r="E2656" s="174"/>
      <c r="F2656" s="72" t="s">
        <v>1332</v>
      </c>
      <c r="G2656" s="90">
        <v>1</v>
      </c>
      <c r="H2656" s="91"/>
      <c r="I2656" s="92" t="s">
        <v>63</v>
      </c>
      <c r="J2656" s="90">
        <f t="shared" si="653"/>
        <v>0</v>
      </c>
      <c r="K2656" s="90">
        <f t="shared" si="654"/>
        <v>0</v>
      </c>
      <c r="L2656" s="90">
        <f t="shared" si="655"/>
        <v>0</v>
      </c>
      <c r="M2656" s="90">
        <f t="shared" si="656"/>
        <v>0</v>
      </c>
      <c r="N2656" s="90">
        <v>0</v>
      </c>
      <c r="O2656" s="90">
        <f t="shared" si="657"/>
        <v>0</v>
      </c>
      <c r="P2656" s="92" t="s">
        <v>1647</v>
      </c>
      <c r="Z2656" s="93">
        <f t="shared" si="658"/>
        <v>0</v>
      </c>
      <c r="AB2656" s="93">
        <f t="shared" si="659"/>
        <v>0</v>
      </c>
      <c r="AC2656" s="93">
        <f t="shared" si="660"/>
        <v>0</v>
      </c>
      <c r="AD2656" s="93">
        <f t="shared" si="661"/>
        <v>0</v>
      </c>
      <c r="AE2656" s="93">
        <f t="shared" si="662"/>
        <v>0</v>
      </c>
      <c r="AF2656" s="93">
        <f t="shared" si="663"/>
        <v>0</v>
      </c>
      <c r="AG2656" s="93">
        <f t="shared" si="664"/>
        <v>0</v>
      </c>
      <c r="AH2656" s="93">
        <f t="shared" si="665"/>
        <v>0</v>
      </c>
      <c r="AI2656" s="88" t="s">
        <v>55</v>
      </c>
      <c r="AJ2656" s="93">
        <f t="shared" si="666"/>
        <v>0</v>
      </c>
      <c r="AK2656" s="93">
        <f t="shared" si="667"/>
        <v>0</v>
      </c>
      <c r="AL2656" s="93">
        <f t="shared" si="668"/>
        <v>0</v>
      </c>
      <c r="AN2656" s="93">
        <v>21</v>
      </c>
      <c r="AO2656" s="93">
        <f t="shared" si="669"/>
        <v>0</v>
      </c>
      <c r="AP2656" s="93">
        <f t="shared" si="670"/>
        <v>0</v>
      </c>
      <c r="AQ2656" s="94" t="s">
        <v>118</v>
      </c>
      <c r="AV2656" s="93">
        <f t="shared" si="671"/>
        <v>0</v>
      </c>
      <c r="AW2656" s="93">
        <f t="shared" si="672"/>
        <v>0</v>
      </c>
      <c r="AX2656" s="93">
        <f t="shared" si="673"/>
        <v>0</v>
      </c>
      <c r="AY2656" s="94" t="s">
        <v>3494</v>
      </c>
      <c r="AZ2656" s="94" t="s">
        <v>3495</v>
      </c>
      <c r="BA2656" s="88" t="s">
        <v>67</v>
      </c>
      <c r="BC2656" s="93">
        <f t="shared" si="674"/>
        <v>0</v>
      </c>
      <c r="BD2656" s="93">
        <f t="shared" si="675"/>
        <v>0</v>
      </c>
      <c r="BE2656" s="93">
        <v>0</v>
      </c>
      <c r="BF2656" s="93">
        <f t="shared" si="676"/>
        <v>0</v>
      </c>
      <c r="BH2656" s="93">
        <f t="shared" si="677"/>
        <v>0</v>
      </c>
      <c r="BI2656" s="93">
        <f t="shared" si="678"/>
        <v>0</v>
      </c>
      <c r="BJ2656" s="93">
        <f t="shared" si="679"/>
        <v>0</v>
      </c>
      <c r="BK2656" s="93"/>
      <c r="BL2656" s="93"/>
      <c r="BW2656" s="93" t="str">
        <f t="shared" si="680"/>
        <v>21</v>
      </c>
      <c r="BX2656" s="2" t="s">
        <v>3840</v>
      </c>
    </row>
    <row r="2657" spans="1:76" s="81" customFormat="1" ht="25.5" x14ac:dyDescent="0.25">
      <c r="A2657" s="66" t="s">
        <v>3859</v>
      </c>
      <c r="B2657" s="72" t="s">
        <v>55</v>
      </c>
      <c r="C2657" s="72" t="s">
        <v>3842</v>
      </c>
      <c r="D2657" s="174" t="s">
        <v>3843</v>
      </c>
      <c r="E2657" s="174"/>
      <c r="F2657" s="72" t="s">
        <v>3596</v>
      </c>
      <c r="G2657" s="90">
        <v>12</v>
      </c>
      <c r="H2657" s="91"/>
      <c r="I2657" s="92" t="s">
        <v>63</v>
      </c>
      <c r="J2657" s="90">
        <f t="shared" si="653"/>
        <v>0</v>
      </c>
      <c r="K2657" s="90">
        <f t="shared" si="654"/>
        <v>0</v>
      </c>
      <c r="L2657" s="90">
        <f t="shared" si="655"/>
        <v>0</v>
      </c>
      <c r="M2657" s="90">
        <f t="shared" si="656"/>
        <v>0</v>
      </c>
      <c r="N2657" s="90">
        <v>0</v>
      </c>
      <c r="O2657" s="90">
        <f t="shared" si="657"/>
        <v>0</v>
      </c>
      <c r="P2657" s="92" t="s">
        <v>1647</v>
      </c>
      <c r="Z2657" s="93">
        <f t="shared" si="658"/>
        <v>0</v>
      </c>
      <c r="AB2657" s="93">
        <f t="shared" si="659"/>
        <v>0</v>
      </c>
      <c r="AC2657" s="93">
        <f t="shared" si="660"/>
        <v>0</v>
      </c>
      <c r="AD2657" s="93">
        <f t="shared" si="661"/>
        <v>0</v>
      </c>
      <c r="AE2657" s="93">
        <f t="shared" si="662"/>
        <v>0</v>
      </c>
      <c r="AF2657" s="93">
        <f t="shared" si="663"/>
        <v>0</v>
      </c>
      <c r="AG2657" s="93">
        <f t="shared" si="664"/>
        <v>0</v>
      </c>
      <c r="AH2657" s="93">
        <f t="shared" si="665"/>
        <v>0</v>
      </c>
      <c r="AI2657" s="88" t="s">
        <v>55</v>
      </c>
      <c r="AJ2657" s="93">
        <f t="shared" si="666"/>
        <v>0</v>
      </c>
      <c r="AK2657" s="93">
        <f t="shared" si="667"/>
        <v>0</v>
      </c>
      <c r="AL2657" s="93">
        <f t="shared" si="668"/>
        <v>0</v>
      </c>
      <c r="AN2657" s="93">
        <v>21</v>
      </c>
      <c r="AO2657" s="93">
        <f t="shared" si="669"/>
        <v>0</v>
      </c>
      <c r="AP2657" s="93">
        <f t="shared" si="670"/>
        <v>0</v>
      </c>
      <c r="AQ2657" s="94" t="s">
        <v>118</v>
      </c>
      <c r="AV2657" s="93">
        <f t="shared" si="671"/>
        <v>0</v>
      </c>
      <c r="AW2657" s="93">
        <f t="shared" si="672"/>
        <v>0</v>
      </c>
      <c r="AX2657" s="93">
        <f t="shared" si="673"/>
        <v>0</v>
      </c>
      <c r="AY2657" s="94" t="s">
        <v>3494</v>
      </c>
      <c r="AZ2657" s="94" t="s">
        <v>3495</v>
      </c>
      <c r="BA2657" s="88" t="s">
        <v>67</v>
      </c>
      <c r="BC2657" s="93">
        <f t="shared" si="674"/>
        <v>0</v>
      </c>
      <c r="BD2657" s="93">
        <f t="shared" si="675"/>
        <v>0</v>
      </c>
      <c r="BE2657" s="93">
        <v>0</v>
      </c>
      <c r="BF2657" s="93">
        <f t="shared" si="676"/>
        <v>0</v>
      </c>
      <c r="BH2657" s="93">
        <f t="shared" si="677"/>
        <v>0</v>
      </c>
      <c r="BI2657" s="93">
        <f t="shared" si="678"/>
        <v>0</v>
      </c>
      <c r="BJ2657" s="93">
        <f t="shared" si="679"/>
        <v>0</v>
      </c>
      <c r="BK2657" s="93"/>
      <c r="BL2657" s="93"/>
      <c r="BW2657" s="93" t="str">
        <f t="shared" si="680"/>
        <v>21</v>
      </c>
      <c r="BX2657" s="2" t="s">
        <v>3843</v>
      </c>
    </row>
    <row r="2658" spans="1:76" s="81" customFormat="1" ht="25.5" x14ac:dyDescent="0.25">
      <c r="A2658" s="66" t="s">
        <v>3862</v>
      </c>
      <c r="B2658" s="72" t="s">
        <v>55</v>
      </c>
      <c r="C2658" s="72" t="s">
        <v>3845</v>
      </c>
      <c r="D2658" s="174" t="s">
        <v>3846</v>
      </c>
      <c r="E2658" s="174"/>
      <c r="F2658" s="72" t="s">
        <v>3596</v>
      </c>
      <c r="G2658" s="90">
        <v>4</v>
      </c>
      <c r="H2658" s="91"/>
      <c r="I2658" s="92" t="s">
        <v>63</v>
      </c>
      <c r="J2658" s="90">
        <f t="shared" si="653"/>
        <v>0</v>
      </c>
      <c r="K2658" s="90">
        <f t="shared" si="654"/>
        <v>0</v>
      </c>
      <c r="L2658" s="90">
        <f t="shared" si="655"/>
        <v>0</v>
      </c>
      <c r="M2658" s="90">
        <f t="shared" si="656"/>
        <v>0</v>
      </c>
      <c r="N2658" s="90">
        <v>0</v>
      </c>
      <c r="O2658" s="90">
        <f t="shared" si="657"/>
        <v>0</v>
      </c>
      <c r="P2658" s="92" t="s">
        <v>1647</v>
      </c>
      <c r="Z2658" s="93">
        <f t="shared" si="658"/>
        <v>0</v>
      </c>
      <c r="AB2658" s="93">
        <f t="shared" si="659"/>
        <v>0</v>
      </c>
      <c r="AC2658" s="93">
        <f t="shared" si="660"/>
        <v>0</v>
      </c>
      <c r="AD2658" s="93">
        <f t="shared" si="661"/>
        <v>0</v>
      </c>
      <c r="AE2658" s="93">
        <f t="shared" si="662"/>
        <v>0</v>
      </c>
      <c r="AF2658" s="93">
        <f t="shared" si="663"/>
        <v>0</v>
      </c>
      <c r="AG2658" s="93">
        <f t="shared" si="664"/>
        <v>0</v>
      </c>
      <c r="AH2658" s="93">
        <f t="shared" si="665"/>
        <v>0</v>
      </c>
      <c r="AI2658" s="88" t="s">
        <v>55</v>
      </c>
      <c r="AJ2658" s="93">
        <f t="shared" si="666"/>
        <v>0</v>
      </c>
      <c r="AK2658" s="93">
        <f t="shared" si="667"/>
        <v>0</v>
      </c>
      <c r="AL2658" s="93">
        <f t="shared" si="668"/>
        <v>0</v>
      </c>
      <c r="AN2658" s="93">
        <v>21</v>
      </c>
      <c r="AO2658" s="93">
        <f t="shared" si="669"/>
        <v>0</v>
      </c>
      <c r="AP2658" s="93">
        <f t="shared" si="670"/>
        <v>0</v>
      </c>
      <c r="AQ2658" s="94" t="s">
        <v>118</v>
      </c>
      <c r="AV2658" s="93">
        <f t="shared" si="671"/>
        <v>0</v>
      </c>
      <c r="AW2658" s="93">
        <f t="shared" si="672"/>
        <v>0</v>
      </c>
      <c r="AX2658" s="93">
        <f t="shared" si="673"/>
        <v>0</v>
      </c>
      <c r="AY2658" s="94" t="s">
        <v>3494</v>
      </c>
      <c r="AZ2658" s="94" t="s">
        <v>3495</v>
      </c>
      <c r="BA2658" s="88" t="s">
        <v>67</v>
      </c>
      <c r="BC2658" s="93">
        <f t="shared" si="674"/>
        <v>0</v>
      </c>
      <c r="BD2658" s="93">
        <f t="shared" si="675"/>
        <v>0</v>
      </c>
      <c r="BE2658" s="93">
        <v>0</v>
      </c>
      <c r="BF2658" s="93">
        <f t="shared" si="676"/>
        <v>0</v>
      </c>
      <c r="BH2658" s="93">
        <f t="shared" si="677"/>
        <v>0</v>
      </c>
      <c r="BI2658" s="93">
        <f t="shared" si="678"/>
        <v>0</v>
      </c>
      <c r="BJ2658" s="93">
        <f t="shared" si="679"/>
        <v>0</v>
      </c>
      <c r="BK2658" s="93"/>
      <c r="BL2658" s="93"/>
      <c r="BW2658" s="93" t="str">
        <f t="shared" si="680"/>
        <v>21</v>
      </c>
      <c r="BX2658" s="2" t="s">
        <v>3846</v>
      </c>
    </row>
    <row r="2659" spans="1:76" s="81" customFormat="1" ht="25.5" x14ac:dyDescent="0.25">
      <c r="A2659" s="66" t="s">
        <v>3865</v>
      </c>
      <c r="B2659" s="72" t="s">
        <v>55</v>
      </c>
      <c r="C2659" s="72" t="s">
        <v>3848</v>
      </c>
      <c r="D2659" s="174" t="s">
        <v>3849</v>
      </c>
      <c r="E2659" s="174"/>
      <c r="F2659" s="72" t="s">
        <v>3596</v>
      </c>
      <c r="G2659" s="90">
        <v>16</v>
      </c>
      <c r="H2659" s="91"/>
      <c r="I2659" s="92" t="s">
        <v>63</v>
      </c>
      <c r="J2659" s="90">
        <f t="shared" si="653"/>
        <v>0</v>
      </c>
      <c r="K2659" s="90">
        <f t="shared" si="654"/>
        <v>0</v>
      </c>
      <c r="L2659" s="90">
        <f t="shared" si="655"/>
        <v>0</v>
      </c>
      <c r="M2659" s="90">
        <f t="shared" si="656"/>
        <v>0</v>
      </c>
      <c r="N2659" s="90">
        <v>0</v>
      </c>
      <c r="O2659" s="90">
        <f t="shared" si="657"/>
        <v>0</v>
      </c>
      <c r="P2659" s="92" t="s">
        <v>1647</v>
      </c>
      <c r="Z2659" s="93">
        <f t="shared" si="658"/>
        <v>0</v>
      </c>
      <c r="AB2659" s="93">
        <f t="shared" si="659"/>
        <v>0</v>
      </c>
      <c r="AC2659" s="93">
        <f t="shared" si="660"/>
        <v>0</v>
      </c>
      <c r="AD2659" s="93">
        <f t="shared" si="661"/>
        <v>0</v>
      </c>
      <c r="AE2659" s="93">
        <f t="shared" si="662"/>
        <v>0</v>
      </c>
      <c r="AF2659" s="93">
        <f t="shared" si="663"/>
        <v>0</v>
      </c>
      <c r="AG2659" s="93">
        <f t="shared" si="664"/>
        <v>0</v>
      </c>
      <c r="AH2659" s="93">
        <f t="shared" si="665"/>
        <v>0</v>
      </c>
      <c r="AI2659" s="88" t="s">
        <v>55</v>
      </c>
      <c r="AJ2659" s="93">
        <f t="shared" si="666"/>
        <v>0</v>
      </c>
      <c r="AK2659" s="93">
        <f t="shared" si="667"/>
        <v>0</v>
      </c>
      <c r="AL2659" s="93">
        <f t="shared" si="668"/>
        <v>0</v>
      </c>
      <c r="AN2659" s="93">
        <v>21</v>
      </c>
      <c r="AO2659" s="93">
        <f t="shared" si="669"/>
        <v>0</v>
      </c>
      <c r="AP2659" s="93">
        <f t="shared" si="670"/>
        <v>0</v>
      </c>
      <c r="AQ2659" s="94" t="s">
        <v>118</v>
      </c>
      <c r="AV2659" s="93">
        <f t="shared" si="671"/>
        <v>0</v>
      </c>
      <c r="AW2659" s="93">
        <f t="shared" si="672"/>
        <v>0</v>
      </c>
      <c r="AX2659" s="93">
        <f t="shared" si="673"/>
        <v>0</v>
      </c>
      <c r="AY2659" s="94" t="s">
        <v>3494</v>
      </c>
      <c r="AZ2659" s="94" t="s">
        <v>3495</v>
      </c>
      <c r="BA2659" s="88" t="s">
        <v>67</v>
      </c>
      <c r="BC2659" s="93">
        <f t="shared" si="674"/>
        <v>0</v>
      </c>
      <c r="BD2659" s="93">
        <f t="shared" si="675"/>
        <v>0</v>
      </c>
      <c r="BE2659" s="93">
        <v>0</v>
      </c>
      <c r="BF2659" s="93">
        <f t="shared" si="676"/>
        <v>0</v>
      </c>
      <c r="BH2659" s="93">
        <f t="shared" si="677"/>
        <v>0</v>
      </c>
      <c r="BI2659" s="93">
        <f t="shared" si="678"/>
        <v>0</v>
      </c>
      <c r="BJ2659" s="93">
        <f t="shared" si="679"/>
        <v>0</v>
      </c>
      <c r="BK2659" s="93"/>
      <c r="BL2659" s="93"/>
      <c r="BW2659" s="93" t="str">
        <f t="shared" si="680"/>
        <v>21</v>
      </c>
      <c r="BX2659" s="2" t="s">
        <v>3849</v>
      </c>
    </row>
    <row r="2660" spans="1:76" s="81" customFormat="1" ht="25.5" x14ac:dyDescent="0.25">
      <c r="A2660" s="66" t="s">
        <v>3868</v>
      </c>
      <c r="B2660" s="72" t="s">
        <v>55</v>
      </c>
      <c r="C2660" s="72" t="s">
        <v>3851</v>
      </c>
      <c r="D2660" s="174" t="s">
        <v>3852</v>
      </c>
      <c r="E2660" s="174"/>
      <c r="F2660" s="72" t="s">
        <v>3596</v>
      </c>
      <c r="G2660" s="90">
        <v>6</v>
      </c>
      <c r="H2660" s="91"/>
      <c r="I2660" s="92" t="s">
        <v>63</v>
      </c>
      <c r="J2660" s="90">
        <f t="shared" si="653"/>
        <v>0</v>
      </c>
      <c r="K2660" s="90">
        <f t="shared" si="654"/>
        <v>0</v>
      </c>
      <c r="L2660" s="90">
        <f t="shared" si="655"/>
        <v>0</v>
      </c>
      <c r="M2660" s="90">
        <f t="shared" si="656"/>
        <v>0</v>
      </c>
      <c r="N2660" s="90">
        <v>0</v>
      </c>
      <c r="O2660" s="90">
        <f t="shared" si="657"/>
        <v>0</v>
      </c>
      <c r="P2660" s="92" t="s">
        <v>1647</v>
      </c>
      <c r="Z2660" s="93">
        <f t="shared" si="658"/>
        <v>0</v>
      </c>
      <c r="AB2660" s="93">
        <f t="shared" si="659"/>
        <v>0</v>
      </c>
      <c r="AC2660" s="93">
        <f t="shared" si="660"/>
        <v>0</v>
      </c>
      <c r="AD2660" s="93">
        <f t="shared" si="661"/>
        <v>0</v>
      </c>
      <c r="AE2660" s="93">
        <f t="shared" si="662"/>
        <v>0</v>
      </c>
      <c r="AF2660" s="93">
        <f t="shared" si="663"/>
        <v>0</v>
      </c>
      <c r="AG2660" s="93">
        <f t="shared" si="664"/>
        <v>0</v>
      </c>
      <c r="AH2660" s="93">
        <f t="shared" si="665"/>
        <v>0</v>
      </c>
      <c r="AI2660" s="88" t="s">
        <v>55</v>
      </c>
      <c r="AJ2660" s="93">
        <f t="shared" si="666"/>
        <v>0</v>
      </c>
      <c r="AK2660" s="93">
        <f t="shared" si="667"/>
        <v>0</v>
      </c>
      <c r="AL2660" s="93">
        <f t="shared" si="668"/>
        <v>0</v>
      </c>
      <c r="AN2660" s="93">
        <v>21</v>
      </c>
      <c r="AO2660" s="93">
        <f t="shared" si="669"/>
        <v>0</v>
      </c>
      <c r="AP2660" s="93">
        <f t="shared" si="670"/>
        <v>0</v>
      </c>
      <c r="AQ2660" s="94" t="s">
        <v>118</v>
      </c>
      <c r="AV2660" s="93">
        <f t="shared" si="671"/>
        <v>0</v>
      </c>
      <c r="AW2660" s="93">
        <f t="shared" si="672"/>
        <v>0</v>
      </c>
      <c r="AX2660" s="93">
        <f t="shared" si="673"/>
        <v>0</v>
      </c>
      <c r="AY2660" s="94" t="s">
        <v>3494</v>
      </c>
      <c r="AZ2660" s="94" t="s">
        <v>3495</v>
      </c>
      <c r="BA2660" s="88" t="s">
        <v>67</v>
      </c>
      <c r="BC2660" s="93">
        <f t="shared" si="674"/>
        <v>0</v>
      </c>
      <c r="BD2660" s="93">
        <f t="shared" si="675"/>
        <v>0</v>
      </c>
      <c r="BE2660" s="93">
        <v>0</v>
      </c>
      <c r="BF2660" s="93">
        <f t="shared" si="676"/>
        <v>0</v>
      </c>
      <c r="BH2660" s="93">
        <f t="shared" si="677"/>
        <v>0</v>
      </c>
      <c r="BI2660" s="93">
        <f t="shared" si="678"/>
        <v>0</v>
      </c>
      <c r="BJ2660" s="93">
        <f t="shared" si="679"/>
        <v>0</v>
      </c>
      <c r="BK2660" s="93"/>
      <c r="BL2660" s="93"/>
      <c r="BW2660" s="93" t="str">
        <f t="shared" si="680"/>
        <v>21</v>
      </c>
      <c r="BX2660" s="2" t="s">
        <v>3852</v>
      </c>
    </row>
    <row r="2661" spans="1:76" s="81" customFormat="1" ht="25.5" x14ac:dyDescent="0.25">
      <c r="A2661" s="66" t="s">
        <v>3871</v>
      </c>
      <c r="B2661" s="72" t="s">
        <v>55</v>
      </c>
      <c r="C2661" s="72" t="s">
        <v>3854</v>
      </c>
      <c r="D2661" s="174" t="s">
        <v>3855</v>
      </c>
      <c r="E2661" s="174"/>
      <c r="F2661" s="72" t="s">
        <v>3596</v>
      </c>
      <c r="G2661" s="90">
        <v>12</v>
      </c>
      <c r="H2661" s="91"/>
      <c r="I2661" s="92" t="s">
        <v>63</v>
      </c>
      <c r="J2661" s="90">
        <f t="shared" si="653"/>
        <v>0</v>
      </c>
      <c r="K2661" s="90">
        <f t="shared" si="654"/>
        <v>0</v>
      </c>
      <c r="L2661" s="90">
        <f t="shared" si="655"/>
        <v>0</v>
      </c>
      <c r="M2661" s="90">
        <f t="shared" si="656"/>
        <v>0</v>
      </c>
      <c r="N2661" s="90">
        <v>0</v>
      </c>
      <c r="O2661" s="90">
        <f t="shared" si="657"/>
        <v>0</v>
      </c>
      <c r="P2661" s="92" t="s">
        <v>1647</v>
      </c>
      <c r="Z2661" s="93">
        <f t="shared" si="658"/>
        <v>0</v>
      </c>
      <c r="AB2661" s="93">
        <f t="shared" si="659"/>
        <v>0</v>
      </c>
      <c r="AC2661" s="93">
        <f t="shared" si="660"/>
        <v>0</v>
      </c>
      <c r="AD2661" s="93">
        <f t="shared" si="661"/>
        <v>0</v>
      </c>
      <c r="AE2661" s="93">
        <f t="shared" si="662"/>
        <v>0</v>
      </c>
      <c r="AF2661" s="93">
        <f t="shared" si="663"/>
        <v>0</v>
      </c>
      <c r="AG2661" s="93">
        <f t="shared" si="664"/>
        <v>0</v>
      </c>
      <c r="AH2661" s="93">
        <f t="shared" si="665"/>
        <v>0</v>
      </c>
      <c r="AI2661" s="88" t="s">
        <v>55</v>
      </c>
      <c r="AJ2661" s="93">
        <f t="shared" si="666"/>
        <v>0</v>
      </c>
      <c r="AK2661" s="93">
        <f t="shared" si="667"/>
        <v>0</v>
      </c>
      <c r="AL2661" s="93">
        <f t="shared" si="668"/>
        <v>0</v>
      </c>
      <c r="AN2661" s="93">
        <v>21</v>
      </c>
      <c r="AO2661" s="93">
        <f t="shared" si="669"/>
        <v>0</v>
      </c>
      <c r="AP2661" s="93">
        <f t="shared" si="670"/>
        <v>0</v>
      </c>
      <c r="AQ2661" s="94" t="s">
        <v>118</v>
      </c>
      <c r="AV2661" s="93">
        <f t="shared" si="671"/>
        <v>0</v>
      </c>
      <c r="AW2661" s="93">
        <f t="shared" si="672"/>
        <v>0</v>
      </c>
      <c r="AX2661" s="93">
        <f t="shared" si="673"/>
        <v>0</v>
      </c>
      <c r="AY2661" s="94" t="s">
        <v>3494</v>
      </c>
      <c r="AZ2661" s="94" t="s">
        <v>3495</v>
      </c>
      <c r="BA2661" s="88" t="s">
        <v>67</v>
      </c>
      <c r="BC2661" s="93">
        <f t="shared" si="674"/>
        <v>0</v>
      </c>
      <c r="BD2661" s="93">
        <f t="shared" si="675"/>
        <v>0</v>
      </c>
      <c r="BE2661" s="93">
        <v>0</v>
      </c>
      <c r="BF2661" s="93">
        <f t="shared" si="676"/>
        <v>0</v>
      </c>
      <c r="BH2661" s="93">
        <f t="shared" si="677"/>
        <v>0</v>
      </c>
      <c r="BI2661" s="93">
        <f t="shared" si="678"/>
        <v>0</v>
      </c>
      <c r="BJ2661" s="93">
        <f t="shared" si="679"/>
        <v>0</v>
      </c>
      <c r="BK2661" s="93"/>
      <c r="BL2661" s="93"/>
      <c r="BW2661" s="93" t="str">
        <f t="shared" si="680"/>
        <v>21</v>
      </c>
      <c r="BX2661" s="2" t="s">
        <v>3855</v>
      </c>
    </row>
    <row r="2662" spans="1:76" s="81" customFormat="1" ht="25.5" x14ac:dyDescent="0.25">
      <c r="A2662" s="66" t="s">
        <v>3874</v>
      </c>
      <c r="B2662" s="72" t="s">
        <v>55</v>
      </c>
      <c r="C2662" s="72" t="s">
        <v>3857</v>
      </c>
      <c r="D2662" s="174" t="s">
        <v>3858</v>
      </c>
      <c r="E2662" s="174"/>
      <c r="F2662" s="72" t="s">
        <v>3514</v>
      </c>
      <c r="G2662" s="90">
        <v>1</v>
      </c>
      <c r="H2662" s="91"/>
      <c r="I2662" s="92" t="s">
        <v>63</v>
      </c>
      <c r="J2662" s="90">
        <f t="shared" si="653"/>
        <v>0</v>
      </c>
      <c r="K2662" s="90">
        <f t="shared" si="654"/>
        <v>0</v>
      </c>
      <c r="L2662" s="90">
        <f t="shared" si="655"/>
        <v>0</v>
      </c>
      <c r="M2662" s="90">
        <f t="shared" si="656"/>
        <v>0</v>
      </c>
      <c r="N2662" s="90">
        <v>0</v>
      </c>
      <c r="O2662" s="90">
        <f t="shared" si="657"/>
        <v>0</v>
      </c>
      <c r="P2662" s="92" t="s">
        <v>1647</v>
      </c>
      <c r="Z2662" s="93">
        <f t="shared" si="658"/>
        <v>0</v>
      </c>
      <c r="AB2662" s="93">
        <f t="shared" si="659"/>
        <v>0</v>
      </c>
      <c r="AC2662" s="93">
        <f t="shared" si="660"/>
        <v>0</v>
      </c>
      <c r="AD2662" s="93">
        <f t="shared" si="661"/>
        <v>0</v>
      </c>
      <c r="AE2662" s="93">
        <f t="shared" si="662"/>
        <v>0</v>
      </c>
      <c r="AF2662" s="93">
        <f t="shared" si="663"/>
        <v>0</v>
      </c>
      <c r="AG2662" s="93">
        <f t="shared" si="664"/>
        <v>0</v>
      </c>
      <c r="AH2662" s="93">
        <f t="shared" si="665"/>
        <v>0</v>
      </c>
      <c r="AI2662" s="88" t="s">
        <v>55</v>
      </c>
      <c r="AJ2662" s="93">
        <f t="shared" si="666"/>
        <v>0</v>
      </c>
      <c r="AK2662" s="93">
        <f t="shared" si="667"/>
        <v>0</v>
      </c>
      <c r="AL2662" s="93">
        <f t="shared" si="668"/>
        <v>0</v>
      </c>
      <c r="AN2662" s="93">
        <v>21</v>
      </c>
      <c r="AO2662" s="93">
        <f t="shared" si="669"/>
        <v>0</v>
      </c>
      <c r="AP2662" s="93">
        <f t="shared" si="670"/>
        <v>0</v>
      </c>
      <c r="AQ2662" s="94" t="s">
        <v>118</v>
      </c>
      <c r="AV2662" s="93">
        <f t="shared" si="671"/>
        <v>0</v>
      </c>
      <c r="AW2662" s="93">
        <f t="shared" si="672"/>
        <v>0</v>
      </c>
      <c r="AX2662" s="93">
        <f t="shared" si="673"/>
        <v>0</v>
      </c>
      <c r="AY2662" s="94" t="s">
        <v>3494</v>
      </c>
      <c r="AZ2662" s="94" t="s">
        <v>3495</v>
      </c>
      <c r="BA2662" s="88" t="s">
        <v>67</v>
      </c>
      <c r="BC2662" s="93">
        <f t="shared" si="674"/>
        <v>0</v>
      </c>
      <c r="BD2662" s="93">
        <f t="shared" si="675"/>
        <v>0</v>
      </c>
      <c r="BE2662" s="93">
        <v>0</v>
      </c>
      <c r="BF2662" s="93">
        <f t="shared" si="676"/>
        <v>0</v>
      </c>
      <c r="BH2662" s="93">
        <f t="shared" si="677"/>
        <v>0</v>
      </c>
      <c r="BI2662" s="93">
        <f t="shared" si="678"/>
        <v>0</v>
      </c>
      <c r="BJ2662" s="93">
        <f t="shared" si="679"/>
        <v>0</v>
      </c>
      <c r="BK2662" s="93"/>
      <c r="BL2662" s="93"/>
      <c r="BW2662" s="93" t="str">
        <f t="shared" si="680"/>
        <v>21</v>
      </c>
      <c r="BX2662" s="2" t="s">
        <v>3858</v>
      </c>
    </row>
    <row r="2663" spans="1:76" s="81" customFormat="1" ht="25.5" x14ac:dyDescent="0.25">
      <c r="A2663" s="66" t="s">
        <v>3877</v>
      </c>
      <c r="B2663" s="72" t="s">
        <v>55</v>
      </c>
      <c r="C2663" s="72" t="s">
        <v>3860</v>
      </c>
      <c r="D2663" s="174" t="s">
        <v>3861</v>
      </c>
      <c r="E2663" s="174"/>
      <c r="F2663" s="72" t="s">
        <v>3514</v>
      </c>
      <c r="G2663" s="90">
        <v>1</v>
      </c>
      <c r="H2663" s="91"/>
      <c r="I2663" s="92" t="s">
        <v>63</v>
      </c>
      <c r="J2663" s="90">
        <f t="shared" si="653"/>
        <v>0</v>
      </c>
      <c r="K2663" s="90">
        <f t="shared" si="654"/>
        <v>0</v>
      </c>
      <c r="L2663" s="90">
        <f t="shared" si="655"/>
        <v>0</v>
      </c>
      <c r="M2663" s="90">
        <f t="shared" si="656"/>
        <v>0</v>
      </c>
      <c r="N2663" s="90">
        <v>0</v>
      </c>
      <c r="O2663" s="90">
        <f t="shared" si="657"/>
        <v>0</v>
      </c>
      <c r="P2663" s="92" t="s">
        <v>1647</v>
      </c>
      <c r="Z2663" s="93">
        <f t="shared" si="658"/>
        <v>0</v>
      </c>
      <c r="AB2663" s="93">
        <f t="shared" si="659"/>
        <v>0</v>
      </c>
      <c r="AC2663" s="93">
        <f t="shared" si="660"/>
        <v>0</v>
      </c>
      <c r="AD2663" s="93">
        <f t="shared" si="661"/>
        <v>0</v>
      </c>
      <c r="AE2663" s="93">
        <f t="shared" si="662"/>
        <v>0</v>
      </c>
      <c r="AF2663" s="93">
        <f t="shared" si="663"/>
        <v>0</v>
      </c>
      <c r="AG2663" s="93">
        <f t="shared" si="664"/>
        <v>0</v>
      </c>
      <c r="AH2663" s="93">
        <f t="shared" si="665"/>
        <v>0</v>
      </c>
      <c r="AI2663" s="88" t="s">
        <v>55</v>
      </c>
      <c r="AJ2663" s="93">
        <f t="shared" si="666"/>
        <v>0</v>
      </c>
      <c r="AK2663" s="93">
        <f t="shared" si="667"/>
        <v>0</v>
      </c>
      <c r="AL2663" s="93">
        <f t="shared" si="668"/>
        <v>0</v>
      </c>
      <c r="AN2663" s="93">
        <v>21</v>
      </c>
      <c r="AO2663" s="93">
        <f t="shared" si="669"/>
        <v>0</v>
      </c>
      <c r="AP2663" s="93">
        <f t="shared" si="670"/>
        <v>0</v>
      </c>
      <c r="AQ2663" s="94" t="s">
        <v>118</v>
      </c>
      <c r="AV2663" s="93">
        <f t="shared" si="671"/>
        <v>0</v>
      </c>
      <c r="AW2663" s="93">
        <f t="shared" si="672"/>
        <v>0</v>
      </c>
      <c r="AX2663" s="93">
        <f t="shared" si="673"/>
        <v>0</v>
      </c>
      <c r="AY2663" s="94" t="s">
        <v>3494</v>
      </c>
      <c r="AZ2663" s="94" t="s">
        <v>3495</v>
      </c>
      <c r="BA2663" s="88" t="s">
        <v>67</v>
      </c>
      <c r="BC2663" s="93">
        <f t="shared" si="674"/>
        <v>0</v>
      </c>
      <c r="BD2663" s="93">
        <f t="shared" si="675"/>
        <v>0</v>
      </c>
      <c r="BE2663" s="93">
        <v>0</v>
      </c>
      <c r="BF2663" s="93">
        <f t="shared" si="676"/>
        <v>0</v>
      </c>
      <c r="BH2663" s="93">
        <f t="shared" si="677"/>
        <v>0</v>
      </c>
      <c r="BI2663" s="93">
        <f t="shared" si="678"/>
        <v>0</v>
      </c>
      <c r="BJ2663" s="93">
        <f t="shared" si="679"/>
        <v>0</v>
      </c>
      <c r="BK2663" s="93"/>
      <c r="BL2663" s="93"/>
      <c r="BW2663" s="93" t="str">
        <f t="shared" si="680"/>
        <v>21</v>
      </c>
      <c r="BX2663" s="2" t="s">
        <v>3861</v>
      </c>
    </row>
    <row r="2664" spans="1:76" s="81" customFormat="1" ht="25.5" x14ac:dyDescent="0.25">
      <c r="A2664" s="66" t="s">
        <v>3880</v>
      </c>
      <c r="B2664" s="72" t="s">
        <v>55</v>
      </c>
      <c r="C2664" s="72" t="s">
        <v>3863</v>
      </c>
      <c r="D2664" s="174" t="s">
        <v>3864</v>
      </c>
      <c r="E2664" s="174"/>
      <c r="F2664" s="72" t="s">
        <v>3514</v>
      </c>
      <c r="G2664" s="90">
        <v>1</v>
      </c>
      <c r="H2664" s="91"/>
      <c r="I2664" s="92" t="s">
        <v>63</v>
      </c>
      <c r="J2664" s="90">
        <f t="shared" si="653"/>
        <v>0</v>
      </c>
      <c r="K2664" s="90">
        <f t="shared" si="654"/>
        <v>0</v>
      </c>
      <c r="L2664" s="90">
        <f t="shared" si="655"/>
        <v>0</v>
      </c>
      <c r="M2664" s="90">
        <f t="shared" si="656"/>
        <v>0</v>
      </c>
      <c r="N2664" s="90">
        <v>0</v>
      </c>
      <c r="O2664" s="90">
        <f t="shared" si="657"/>
        <v>0</v>
      </c>
      <c r="P2664" s="92" t="s">
        <v>1647</v>
      </c>
      <c r="Z2664" s="93">
        <f t="shared" si="658"/>
        <v>0</v>
      </c>
      <c r="AB2664" s="93">
        <f t="shared" si="659"/>
        <v>0</v>
      </c>
      <c r="AC2664" s="93">
        <f t="shared" si="660"/>
        <v>0</v>
      </c>
      <c r="AD2664" s="93">
        <f t="shared" si="661"/>
        <v>0</v>
      </c>
      <c r="AE2664" s="93">
        <f t="shared" si="662"/>
        <v>0</v>
      </c>
      <c r="AF2664" s="93">
        <f t="shared" si="663"/>
        <v>0</v>
      </c>
      <c r="AG2664" s="93">
        <f t="shared" si="664"/>
        <v>0</v>
      </c>
      <c r="AH2664" s="93">
        <f t="shared" si="665"/>
        <v>0</v>
      </c>
      <c r="AI2664" s="88" t="s">
        <v>55</v>
      </c>
      <c r="AJ2664" s="93">
        <f t="shared" si="666"/>
        <v>0</v>
      </c>
      <c r="AK2664" s="93">
        <f t="shared" si="667"/>
        <v>0</v>
      </c>
      <c r="AL2664" s="93">
        <f t="shared" si="668"/>
        <v>0</v>
      </c>
      <c r="AN2664" s="93">
        <v>21</v>
      </c>
      <c r="AO2664" s="93">
        <f t="shared" si="669"/>
        <v>0</v>
      </c>
      <c r="AP2664" s="93">
        <f t="shared" si="670"/>
        <v>0</v>
      </c>
      <c r="AQ2664" s="94" t="s">
        <v>118</v>
      </c>
      <c r="AV2664" s="93">
        <f t="shared" si="671"/>
        <v>0</v>
      </c>
      <c r="AW2664" s="93">
        <f t="shared" si="672"/>
        <v>0</v>
      </c>
      <c r="AX2664" s="93">
        <f t="shared" si="673"/>
        <v>0</v>
      </c>
      <c r="AY2664" s="94" t="s">
        <v>3494</v>
      </c>
      <c r="AZ2664" s="94" t="s">
        <v>3495</v>
      </c>
      <c r="BA2664" s="88" t="s">
        <v>67</v>
      </c>
      <c r="BC2664" s="93">
        <f t="shared" si="674"/>
        <v>0</v>
      </c>
      <c r="BD2664" s="93">
        <f t="shared" si="675"/>
        <v>0</v>
      </c>
      <c r="BE2664" s="93">
        <v>0</v>
      </c>
      <c r="BF2664" s="93">
        <f t="shared" si="676"/>
        <v>0</v>
      </c>
      <c r="BH2664" s="93">
        <f t="shared" si="677"/>
        <v>0</v>
      </c>
      <c r="BI2664" s="93">
        <f t="shared" si="678"/>
        <v>0</v>
      </c>
      <c r="BJ2664" s="93">
        <f t="shared" si="679"/>
        <v>0</v>
      </c>
      <c r="BK2664" s="93"/>
      <c r="BL2664" s="93"/>
      <c r="BW2664" s="93" t="str">
        <f t="shared" si="680"/>
        <v>21</v>
      </c>
      <c r="BX2664" s="2" t="s">
        <v>3864</v>
      </c>
    </row>
    <row r="2665" spans="1:76" s="81" customFormat="1" ht="25.5" x14ac:dyDescent="0.25">
      <c r="A2665" s="66" t="s">
        <v>3883</v>
      </c>
      <c r="B2665" s="72" t="s">
        <v>55</v>
      </c>
      <c r="C2665" s="72" t="s">
        <v>3866</v>
      </c>
      <c r="D2665" s="174" t="s">
        <v>3867</v>
      </c>
      <c r="E2665" s="174"/>
      <c r="F2665" s="72" t="s">
        <v>3514</v>
      </c>
      <c r="G2665" s="90">
        <v>1</v>
      </c>
      <c r="H2665" s="91"/>
      <c r="I2665" s="92" t="s">
        <v>63</v>
      </c>
      <c r="J2665" s="90">
        <f t="shared" si="653"/>
        <v>0</v>
      </c>
      <c r="K2665" s="90">
        <f t="shared" si="654"/>
        <v>0</v>
      </c>
      <c r="L2665" s="90">
        <f t="shared" si="655"/>
        <v>0</v>
      </c>
      <c r="M2665" s="90">
        <f t="shared" si="656"/>
        <v>0</v>
      </c>
      <c r="N2665" s="90">
        <v>0</v>
      </c>
      <c r="O2665" s="90">
        <f t="shared" si="657"/>
        <v>0</v>
      </c>
      <c r="P2665" s="92" t="s">
        <v>1647</v>
      </c>
      <c r="Z2665" s="93">
        <f t="shared" si="658"/>
        <v>0</v>
      </c>
      <c r="AB2665" s="93">
        <f t="shared" si="659"/>
        <v>0</v>
      </c>
      <c r="AC2665" s="93">
        <f t="shared" si="660"/>
        <v>0</v>
      </c>
      <c r="AD2665" s="93">
        <f t="shared" si="661"/>
        <v>0</v>
      </c>
      <c r="AE2665" s="93">
        <f t="shared" si="662"/>
        <v>0</v>
      </c>
      <c r="AF2665" s="93">
        <f t="shared" si="663"/>
        <v>0</v>
      </c>
      <c r="AG2665" s="93">
        <f t="shared" si="664"/>
        <v>0</v>
      </c>
      <c r="AH2665" s="93">
        <f t="shared" si="665"/>
        <v>0</v>
      </c>
      <c r="AI2665" s="88" t="s">
        <v>55</v>
      </c>
      <c r="AJ2665" s="93">
        <f t="shared" si="666"/>
        <v>0</v>
      </c>
      <c r="AK2665" s="93">
        <f t="shared" si="667"/>
        <v>0</v>
      </c>
      <c r="AL2665" s="93">
        <f t="shared" si="668"/>
        <v>0</v>
      </c>
      <c r="AN2665" s="93">
        <v>21</v>
      </c>
      <c r="AO2665" s="93">
        <f t="shared" si="669"/>
        <v>0</v>
      </c>
      <c r="AP2665" s="93">
        <f t="shared" si="670"/>
        <v>0</v>
      </c>
      <c r="AQ2665" s="94" t="s">
        <v>118</v>
      </c>
      <c r="AV2665" s="93">
        <f t="shared" si="671"/>
        <v>0</v>
      </c>
      <c r="AW2665" s="93">
        <f t="shared" si="672"/>
        <v>0</v>
      </c>
      <c r="AX2665" s="93">
        <f t="shared" si="673"/>
        <v>0</v>
      </c>
      <c r="AY2665" s="94" t="s">
        <v>3494</v>
      </c>
      <c r="AZ2665" s="94" t="s">
        <v>3495</v>
      </c>
      <c r="BA2665" s="88" t="s">
        <v>67</v>
      </c>
      <c r="BC2665" s="93">
        <f t="shared" si="674"/>
        <v>0</v>
      </c>
      <c r="BD2665" s="93">
        <f t="shared" si="675"/>
        <v>0</v>
      </c>
      <c r="BE2665" s="93">
        <v>0</v>
      </c>
      <c r="BF2665" s="93">
        <f t="shared" si="676"/>
        <v>0</v>
      </c>
      <c r="BH2665" s="93">
        <f t="shared" si="677"/>
        <v>0</v>
      </c>
      <c r="BI2665" s="93">
        <f t="shared" si="678"/>
        <v>0</v>
      </c>
      <c r="BJ2665" s="93">
        <f t="shared" si="679"/>
        <v>0</v>
      </c>
      <c r="BK2665" s="93"/>
      <c r="BL2665" s="93"/>
      <c r="BW2665" s="93" t="str">
        <f t="shared" si="680"/>
        <v>21</v>
      </c>
      <c r="BX2665" s="2" t="s">
        <v>3867</v>
      </c>
    </row>
    <row r="2666" spans="1:76" s="81" customFormat="1" ht="25.5" x14ac:dyDescent="0.25">
      <c r="A2666" s="66" t="s">
        <v>3886</v>
      </c>
      <c r="B2666" s="72" t="s">
        <v>55</v>
      </c>
      <c r="C2666" s="72" t="s">
        <v>3869</v>
      </c>
      <c r="D2666" s="174" t="s">
        <v>3870</v>
      </c>
      <c r="E2666" s="174"/>
      <c r="F2666" s="72" t="s">
        <v>3514</v>
      </c>
      <c r="G2666" s="90">
        <v>1</v>
      </c>
      <c r="H2666" s="91"/>
      <c r="I2666" s="92" t="s">
        <v>63</v>
      </c>
      <c r="J2666" s="90">
        <f t="shared" ref="J2666:J2697" si="681">G2666*AO2666</f>
        <v>0</v>
      </c>
      <c r="K2666" s="90">
        <f t="shared" ref="K2666:K2697" si="682">G2666*AP2666</f>
        <v>0</v>
      </c>
      <c r="L2666" s="90">
        <f t="shared" ref="L2666:L2697" si="683">G2666*H2666</f>
        <v>0</v>
      </c>
      <c r="M2666" s="90">
        <f t="shared" ref="M2666:M2697" si="684">L2666*(1+BW2666/100)</f>
        <v>0</v>
      </c>
      <c r="N2666" s="90">
        <v>0</v>
      </c>
      <c r="O2666" s="90">
        <f t="shared" ref="O2666:O2697" si="685">G2666*N2666</f>
        <v>0</v>
      </c>
      <c r="P2666" s="92" t="s">
        <v>1647</v>
      </c>
      <c r="Z2666" s="93">
        <f t="shared" ref="Z2666:Z2697" si="686">IF(AQ2666="5",BJ2666,0)</f>
        <v>0</v>
      </c>
      <c r="AB2666" s="93">
        <f t="shared" ref="AB2666:AB2697" si="687">IF(AQ2666="1",BH2666,0)</f>
        <v>0</v>
      </c>
      <c r="AC2666" s="93">
        <f t="shared" ref="AC2666:AC2697" si="688">IF(AQ2666="1",BI2666,0)</f>
        <v>0</v>
      </c>
      <c r="AD2666" s="93">
        <f t="shared" ref="AD2666:AD2697" si="689">IF(AQ2666="7",BH2666,0)</f>
        <v>0</v>
      </c>
      <c r="AE2666" s="93">
        <f t="shared" ref="AE2666:AE2697" si="690">IF(AQ2666="7",BI2666,0)</f>
        <v>0</v>
      </c>
      <c r="AF2666" s="93">
        <f t="shared" ref="AF2666:AF2697" si="691">IF(AQ2666="2",BH2666,0)</f>
        <v>0</v>
      </c>
      <c r="AG2666" s="93">
        <f t="shared" ref="AG2666:AG2697" si="692">IF(AQ2666="2",BI2666,0)</f>
        <v>0</v>
      </c>
      <c r="AH2666" s="93">
        <f t="shared" ref="AH2666:AH2697" si="693">IF(AQ2666="0",BJ2666,0)</f>
        <v>0</v>
      </c>
      <c r="AI2666" s="88" t="s">
        <v>55</v>
      </c>
      <c r="AJ2666" s="93">
        <f t="shared" ref="AJ2666:AJ2697" si="694">IF(AN2666=0,L2666,0)</f>
        <v>0</v>
      </c>
      <c r="AK2666" s="93">
        <f t="shared" ref="AK2666:AK2697" si="695">IF(AN2666=12,L2666,0)</f>
        <v>0</v>
      </c>
      <c r="AL2666" s="93">
        <f t="shared" ref="AL2666:AL2697" si="696">IF(AN2666=21,L2666,0)</f>
        <v>0</v>
      </c>
      <c r="AN2666" s="93">
        <v>21</v>
      </c>
      <c r="AO2666" s="93">
        <f t="shared" ref="AO2666:AO2697" si="697">H2666*0</f>
        <v>0</v>
      </c>
      <c r="AP2666" s="93">
        <f t="shared" ref="AP2666:AP2697" si="698">H2666*(1-0)</f>
        <v>0</v>
      </c>
      <c r="AQ2666" s="94" t="s">
        <v>118</v>
      </c>
      <c r="AV2666" s="93">
        <f t="shared" ref="AV2666:AV2697" si="699">AW2666+AX2666</f>
        <v>0</v>
      </c>
      <c r="AW2666" s="93">
        <f t="shared" ref="AW2666:AW2697" si="700">G2666*AO2666</f>
        <v>0</v>
      </c>
      <c r="AX2666" s="93">
        <f t="shared" ref="AX2666:AX2697" si="701">G2666*AP2666</f>
        <v>0</v>
      </c>
      <c r="AY2666" s="94" t="s">
        <v>3494</v>
      </c>
      <c r="AZ2666" s="94" t="s">
        <v>3495</v>
      </c>
      <c r="BA2666" s="88" t="s">
        <v>67</v>
      </c>
      <c r="BC2666" s="93">
        <f t="shared" ref="BC2666:BC2697" si="702">AW2666+AX2666</f>
        <v>0</v>
      </c>
      <c r="BD2666" s="93">
        <f t="shared" ref="BD2666:BD2697" si="703">H2666/(100-BE2666)*100</f>
        <v>0</v>
      </c>
      <c r="BE2666" s="93">
        <v>0</v>
      </c>
      <c r="BF2666" s="93">
        <f t="shared" ref="BF2666:BF2697" si="704">O2666</f>
        <v>0</v>
      </c>
      <c r="BH2666" s="93">
        <f t="shared" ref="BH2666:BH2697" si="705">G2666*AO2666</f>
        <v>0</v>
      </c>
      <c r="BI2666" s="93">
        <f t="shared" ref="BI2666:BI2697" si="706">G2666*AP2666</f>
        <v>0</v>
      </c>
      <c r="BJ2666" s="93">
        <f t="shared" ref="BJ2666:BJ2697" si="707">G2666*H2666</f>
        <v>0</v>
      </c>
      <c r="BK2666" s="93"/>
      <c r="BL2666" s="93"/>
      <c r="BW2666" s="93" t="str">
        <f t="shared" ref="BW2666:BW2697" si="708">I2666</f>
        <v>21</v>
      </c>
      <c r="BX2666" s="2" t="s">
        <v>3870</v>
      </c>
    </row>
    <row r="2667" spans="1:76" s="81" customFormat="1" ht="25.5" x14ac:dyDescent="0.25">
      <c r="A2667" s="66" t="s">
        <v>3889</v>
      </c>
      <c r="B2667" s="72" t="s">
        <v>55</v>
      </c>
      <c r="C2667" s="72" t="s">
        <v>3872</v>
      </c>
      <c r="D2667" s="174" t="s">
        <v>3873</v>
      </c>
      <c r="E2667" s="174"/>
      <c r="F2667" s="72" t="s">
        <v>3514</v>
      </c>
      <c r="G2667" s="90">
        <v>1</v>
      </c>
      <c r="H2667" s="91"/>
      <c r="I2667" s="92" t="s">
        <v>63</v>
      </c>
      <c r="J2667" s="90">
        <f t="shared" si="681"/>
        <v>0</v>
      </c>
      <c r="K2667" s="90">
        <f t="shared" si="682"/>
        <v>0</v>
      </c>
      <c r="L2667" s="90">
        <f t="shared" si="683"/>
        <v>0</v>
      </c>
      <c r="M2667" s="90">
        <f t="shared" si="684"/>
        <v>0</v>
      </c>
      <c r="N2667" s="90">
        <v>0</v>
      </c>
      <c r="O2667" s="90">
        <f t="shared" si="685"/>
        <v>0</v>
      </c>
      <c r="P2667" s="92" t="s">
        <v>1647</v>
      </c>
      <c r="Z2667" s="93">
        <f t="shared" si="686"/>
        <v>0</v>
      </c>
      <c r="AB2667" s="93">
        <f t="shared" si="687"/>
        <v>0</v>
      </c>
      <c r="AC2667" s="93">
        <f t="shared" si="688"/>
        <v>0</v>
      </c>
      <c r="AD2667" s="93">
        <f t="shared" si="689"/>
        <v>0</v>
      </c>
      <c r="AE2667" s="93">
        <f t="shared" si="690"/>
        <v>0</v>
      </c>
      <c r="AF2667" s="93">
        <f t="shared" si="691"/>
        <v>0</v>
      </c>
      <c r="AG2667" s="93">
        <f t="shared" si="692"/>
        <v>0</v>
      </c>
      <c r="AH2667" s="93">
        <f t="shared" si="693"/>
        <v>0</v>
      </c>
      <c r="AI2667" s="88" t="s">
        <v>55</v>
      </c>
      <c r="AJ2667" s="93">
        <f t="shared" si="694"/>
        <v>0</v>
      </c>
      <c r="AK2667" s="93">
        <f t="shared" si="695"/>
        <v>0</v>
      </c>
      <c r="AL2667" s="93">
        <f t="shared" si="696"/>
        <v>0</v>
      </c>
      <c r="AN2667" s="93">
        <v>21</v>
      </c>
      <c r="AO2667" s="93">
        <f t="shared" si="697"/>
        <v>0</v>
      </c>
      <c r="AP2667" s="93">
        <f t="shared" si="698"/>
        <v>0</v>
      </c>
      <c r="AQ2667" s="94" t="s">
        <v>118</v>
      </c>
      <c r="AV2667" s="93">
        <f t="shared" si="699"/>
        <v>0</v>
      </c>
      <c r="AW2667" s="93">
        <f t="shared" si="700"/>
        <v>0</v>
      </c>
      <c r="AX2667" s="93">
        <f t="shared" si="701"/>
        <v>0</v>
      </c>
      <c r="AY2667" s="94" t="s">
        <v>3494</v>
      </c>
      <c r="AZ2667" s="94" t="s">
        <v>3495</v>
      </c>
      <c r="BA2667" s="88" t="s">
        <v>67</v>
      </c>
      <c r="BC2667" s="93">
        <f t="shared" si="702"/>
        <v>0</v>
      </c>
      <c r="BD2667" s="93">
        <f t="shared" si="703"/>
        <v>0</v>
      </c>
      <c r="BE2667" s="93">
        <v>0</v>
      </c>
      <c r="BF2667" s="93">
        <f t="shared" si="704"/>
        <v>0</v>
      </c>
      <c r="BH2667" s="93">
        <f t="shared" si="705"/>
        <v>0</v>
      </c>
      <c r="BI2667" s="93">
        <f t="shared" si="706"/>
        <v>0</v>
      </c>
      <c r="BJ2667" s="93">
        <f t="shared" si="707"/>
        <v>0</v>
      </c>
      <c r="BK2667" s="93"/>
      <c r="BL2667" s="93"/>
      <c r="BW2667" s="93" t="str">
        <f t="shared" si="708"/>
        <v>21</v>
      </c>
      <c r="BX2667" s="2" t="s">
        <v>3873</v>
      </c>
    </row>
    <row r="2668" spans="1:76" s="81" customFormat="1" ht="25.5" x14ac:dyDescent="0.25">
      <c r="A2668" s="66" t="s">
        <v>3892</v>
      </c>
      <c r="B2668" s="72" t="s">
        <v>55</v>
      </c>
      <c r="C2668" s="72" t="s">
        <v>3875</v>
      </c>
      <c r="D2668" s="174" t="s">
        <v>3876</v>
      </c>
      <c r="E2668" s="174"/>
      <c r="F2668" s="72" t="s">
        <v>3514</v>
      </c>
      <c r="G2668" s="90">
        <v>1</v>
      </c>
      <c r="H2668" s="91"/>
      <c r="I2668" s="92" t="s">
        <v>63</v>
      </c>
      <c r="J2668" s="90">
        <f t="shared" si="681"/>
        <v>0</v>
      </c>
      <c r="K2668" s="90">
        <f t="shared" si="682"/>
        <v>0</v>
      </c>
      <c r="L2668" s="90">
        <f t="shared" si="683"/>
        <v>0</v>
      </c>
      <c r="M2668" s="90">
        <f t="shared" si="684"/>
        <v>0</v>
      </c>
      <c r="N2668" s="90">
        <v>0</v>
      </c>
      <c r="O2668" s="90">
        <f t="shared" si="685"/>
        <v>0</v>
      </c>
      <c r="P2668" s="92" t="s">
        <v>1647</v>
      </c>
      <c r="Z2668" s="93">
        <f t="shared" si="686"/>
        <v>0</v>
      </c>
      <c r="AB2668" s="93">
        <f t="shared" si="687"/>
        <v>0</v>
      </c>
      <c r="AC2668" s="93">
        <f t="shared" si="688"/>
        <v>0</v>
      </c>
      <c r="AD2668" s="93">
        <f t="shared" si="689"/>
        <v>0</v>
      </c>
      <c r="AE2668" s="93">
        <f t="shared" si="690"/>
        <v>0</v>
      </c>
      <c r="AF2668" s="93">
        <f t="shared" si="691"/>
        <v>0</v>
      </c>
      <c r="AG2668" s="93">
        <f t="shared" si="692"/>
        <v>0</v>
      </c>
      <c r="AH2668" s="93">
        <f t="shared" si="693"/>
        <v>0</v>
      </c>
      <c r="AI2668" s="88" t="s">
        <v>55</v>
      </c>
      <c r="AJ2668" s="93">
        <f t="shared" si="694"/>
        <v>0</v>
      </c>
      <c r="AK2668" s="93">
        <f t="shared" si="695"/>
        <v>0</v>
      </c>
      <c r="AL2668" s="93">
        <f t="shared" si="696"/>
        <v>0</v>
      </c>
      <c r="AN2668" s="93">
        <v>21</v>
      </c>
      <c r="AO2668" s="93">
        <f t="shared" si="697"/>
        <v>0</v>
      </c>
      <c r="AP2668" s="93">
        <f t="shared" si="698"/>
        <v>0</v>
      </c>
      <c r="AQ2668" s="94" t="s">
        <v>118</v>
      </c>
      <c r="AV2668" s="93">
        <f t="shared" si="699"/>
        <v>0</v>
      </c>
      <c r="AW2668" s="93">
        <f t="shared" si="700"/>
        <v>0</v>
      </c>
      <c r="AX2668" s="93">
        <f t="shared" si="701"/>
        <v>0</v>
      </c>
      <c r="AY2668" s="94" t="s">
        <v>3494</v>
      </c>
      <c r="AZ2668" s="94" t="s">
        <v>3495</v>
      </c>
      <c r="BA2668" s="88" t="s">
        <v>67</v>
      </c>
      <c r="BC2668" s="93">
        <f t="shared" si="702"/>
        <v>0</v>
      </c>
      <c r="BD2668" s="93">
        <f t="shared" si="703"/>
        <v>0</v>
      </c>
      <c r="BE2668" s="93">
        <v>0</v>
      </c>
      <c r="BF2668" s="93">
        <f t="shared" si="704"/>
        <v>0</v>
      </c>
      <c r="BH2668" s="93">
        <f t="shared" si="705"/>
        <v>0</v>
      </c>
      <c r="BI2668" s="93">
        <f t="shared" si="706"/>
        <v>0</v>
      </c>
      <c r="BJ2668" s="93">
        <f t="shared" si="707"/>
        <v>0</v>
      </c>
      <c r="BK2668" s="93"/>
      <c r="BL2668" s="93"/>
      <c r="BW2668" s="93" t="str">
        <f t="shared" si="708"/>
        <v>21</v>
      </c>
      <c r="BX2668" s="2" t="s">
        <v>3876</v>
      </c>
    </row>
    <row r="2669" spans="1:76" s="81" customFormat="1" ht="25.5" x14ac:dyDescent="0.25">
      <c r="A2669" s="66" t="s">
        <v>3895</v>
      </c>
      <c r="B2669" s="72" t="s">
        <v>55</v>
      </c>
      <c r="C2669" s="72" t="s">
        <v>3878</v>
      </c>
      <c r="D2669" s="174" t="s">
        <v>3879</v>
      </c>
      <c r="E2669" s="174"/>
      <c r="F2669" s="72" t="s">
        <v>3514</v>
      </c>
      <c r="G2669" s="90">
        <v>1</v>
      </c>
      <c r="H2669" s="91"/>
      <c r="I2669" s="92" t="s">
        <v>63</v>
      </c>
      <c r="J2669" s="90">
        <f t="shared" si="681"/>
        <v>0</v>
      </c>
      <c r="K2669" s="90">
        <f t="shared" si="682"/>
        <v>0</v>
      </c>
      <c r="L2669" s="90">
        <f t="shared" si="683"/>
        <v>0</v>
      </c>
      <c r="M2669" s="90">
        <f t="shared" si="684"/>
        <v>0</v>
      </c>
      <c r="N2669" s="90">
        <v>0</v>
      </c>
      <c r="O2669" s="90">
        <f t="shared" si="685"/>
        <v>0</v>
      </c>
      <c r="P2669" s="92" t="s">
        <v>1647</v>
      </c>
      <c r="Z2669" s="93">
        <f t="shared" si="686"/>
        <v>0</v>
      </c>
      <c r="AB2669" s="93">
        <f t="shared" si="687"/>
        <v>0</v>
      </c>
      <c r="AC2669" s="93">
        <f t="shared" si="688"/>
        <v>0</v>
      </c>
      <c r="AD2669" s="93">
        <f t="shared" si="689"/>
        <v>0</v>
      </c>
      <c r="AE2669" s="93">
        <f t="shared" si="690"/>
        <v>0</v>
      </c>
      <c r="AF2669" s="93">
        <f t="shared" si="691"/>
        <v>0</v>
      </c>
      <c r="AG2669" s="93">
        <f t="shared" si="692"/>
        <v>0</v>
      </c>
      <c r="AH2669" s="93">
        <f t="shared" si="693"/>
        <v>0</v>
      </c>
      <c r="AI2669" s="88" t="s">
        <v>55</v>
      </c>
      <c r="AJ2669" s="93">
        <f t="shared" si="694"/>
        <v>0</v>
      </c>
      <c r="AK2669" s="93">
        <f t="shared" si="695"/>
        <v>0</v>
      </c>
      <c r="AL2669" s="93">
        <f t="shared" si="696"/>
        <v>0</v>
      </c>
      <c r="AN2669" s="93">
        <v>21</v>
      </c>
      <c r="AO2669" s="93">
        <f t="shared" si="697"/>
        <v>0</v>
      </c>
      <c r="AP2669" s="93">
        <f t="shared" si="698"/>
        <v>0</v>
      </c>
      <c r="AQ2669" s="94" t="s">
        <v>118</v>
      </c>
      <c r="AV2669" s="93">
        <f t="shared" si="699"/>
        <v>0</v>
      </c>
      <c r="AW2669" s="93">
        <f t="shared" si="700"/>
        <v>0</v>
      </c>
      <c r="AX2669" s="93">
        <f t="shared" si="701"/>
        <v>0</v>
      </c>
      <c r="AY2669" s="94" t="s">
        <v>3494</v>
      </c>
      <c r="AZ2669" s="94" t="s">
        <v>3495</v>
      </c>
      <c r="BA2669" s="88" t="s">
        <v>67</v>
      </c>
      <c r="BC2669" s="93">
        <f t="shared" si="702"/>
        <v>0</v>
      </c>
      <c r="BD2669" s="93">
        <f t="shared" si="703"/>
        <v>0</v>
      </c>
      <c r="BE2669" s="93">
        <v>0</v>
      </c>
      <c r="BF2669" s="93">
        <f t="shared" si="704"/>
        <v>0</v>
      </c>
      <c r="BH2669" s="93">
        <f t="shared" si="705"/>
        <v>0</v>
      </c>
      <c r="BI2669" s="93">
        <f t="shared" si="706"/>
        <v>0</v>
      </c>
      <c r="BJ2669" s="93">
        <f t="shared" si="707"/>
        <v>0</v>
      </c>
      <c r="BK2669" s="93"/>
      <c r="BL2669" s="93"/>
      <c r="BW2669" s="93" t="str">
        <f t="shared" si="708"/>
        <v>21</v>
      </c>
      <c r="BX2669" s="2" t="s">
        <v>3879</v>
      </c>
    </row>
    <row r="2670" spans="1:76" s="81" customFormat="1" ht="25.5" x14ac:dyDescent="0.25">
      <c r="A2670" s="66" t="s">
        <v>3898</v>
      </c>
      <c r="B2670" s="72" t="s">
        <v>55</v>
      </c>
      <c r="C2670" s="72" t="s">
        <v>3881</v>
      </c>
      <c r="D2670" s="174" t="s">
        <v>4283</v>
      </c>
      <c r="E2670" s="174"/>
      <c r="F2670" s="72" t="s">
        <v>3514</v>
      </c>
      <c r="G2670" s="90">
        <v>1</v>
      </c>
      <c r="H2670" s="91"/>
      <c r="I2670" s="92" t="s">
        <v>63</v>
      </c>
      <c r="J2670" s="90">
        <f t="shared" si="681"/>
        <v>0</v>
      </c>
      <c r="K2670" s="90">
        <f t="shared" si="682"/>
        <v>0</v>
      </c>
      <c r="L2670" s="90">
        <f t="shared" si="683"/>
        <v>0</v>
      </c>
      <c r="M2670" s="90">
        <f t="shared" si="684"/>
        <v>0</v>
      </c>
      <c r="N2670" s="90">
        <v>0</v>
      </c>
      <c r="O2670" s="90">
        <f t="shared" si="685"/>
        <v>0</v>
      </c>
      <c r="P2670" s="92" t="s">
        <v>1647</v>
      </c>
      <c r="Z2670" s="93">
        <f t="shared" si="686"/>
        <v>0</v>
      </c>
      <c r="AB2670" s="93">
        <f t="shared" si="687"/>
        <v>0</v>
      </c>
      <c r="AC2670" s="93">
        <f t="shared" si="688"/>
        <v>0</v>
      </c>
      <c r="AD2670" s="93">
        <f t="shared" si="689"/>
        <v>0</v>
      </c>
      <c r="AE2670" s="93">
        <f t="shared" si="690"/>
        <v>0</v>
      </c>
      <c r="AF2670" s="93">
        <f t="shared" si="691"/>
        <v>0</v>
      </c>
      <c r="AG2670" s="93">
        <f t="shared" si="692"/>
        <v>0</v>
      </c>
      <c r="AH2670" s="93">
        <f t="shared" si="693"/>
        <v>0</v>
      </c>
      <c r="AI2670" s="88" t="s">
        <v>55</v>
      </c>
      <c r="AJ2670" s="93">
        <f t="shared" si="694"/>
        <v>0</v>
      </c>
      <c r="AK2670" s="93">
        <f t="shared" si="695"/>
        <v>0</v>
      </c>
      <c r="AL2670" s="93">
        <f t="shared" si="696"/>
        <v>0</v>
      </c>
      <c r="AN2670" s="93">
        <v>21</v>
      </c>
      <c r="AO2670" s="93">
        <f t="shared" si="697"/>
        <v>0</v>
      </c>
      <c r="AP2670" s="93">
        <f t="shared" si="698"/>
        <v>0</v>
      </c>
      <c r="AQ2670" s="94" t="s">
        <v>118</v>
      </c>
      <c r="AV2670" s="93">
        <f t="shared" si="699"/>
        <v>0</v>
      </c>
      <c r="AW2670" s="93">
        <f t="shared" si="700"/>
        <v>0</v>
      </c>
      <c r="AX2670" s="93">
        <f t="shared" si="701"/>
        <v>0</v>
      </c>
      <c r="AY2670" s="94" t="s">
        <v>3494</v>
      </c>
      <c r="AZ2670" s="94" t="s">
        <v>3495</v>
      </c>
      <c r="BA2670" s="88" t="s">
        <v>67</v>
      </c>
      <c r="BC2670" s="93">
        <f t="shared" si="702"/>
        <v>0</v>
      </c>
      <c r="BD2670" s="93">
        <f t="shared" si="703"/>
        <v>0</v>
      </c>
      <c r="BE2670" s="93">
        <v>0</v>
      </c>
      <c r="BF2670" s="93">
        <f t="shared" si="704"/>
        <v>0</v>
      </c>
      <c r="BH2670" s="93">
        <f t="shared" si="705"/>
        <v>0</v>
      </c>
      <c r="BI2670" s="93">
        <f t="shared" si="706"/>
        <v>0</v>
      </c>
      <c r="BJ2670" s="93">
        <f t="shared" si="707"/>
        <v>0</v>
      </c>
      <c r="BK2670" s="93"/>
      <c r="BL2670" s="93"/>
      <c r="BW2670" s="93" t="str">
        <f t="shared" si="708"/>
        <v>21</v>
      </c>
      <c r="BX2670" s="2" t="s">
        <v>3882</v>
      </c>
    </row>
    <row r="2671" spans="1:76" s="81" customFormat="1" ht="25.5" x14ac:dyDescent="0.25">
      <c r="A2671" s="66" t="s">
        <v>3901</v>
      </c>
      <c r="B2671" s="72" t="s">
        <v>55</v>
      </c>
      <c r="C2671" s="72" t="s">
        <v>3884</v>
      </c>
      <c r="D2671" s="174" t="s">
        <v>3885</v>
      </c>
      <c r="E2671" s="174"/>
      <c r="F2671" s="72" t="s">
        <v>3514</v>
      </c>
      <c r="G2671" s="90">
        <v>1</v>
      </c>
      <c r="H2671" s="91"/>
      <c r="I2671" s="92" t="s">
        <v>63</v>
      </c>
      <c r="J2671" s="90">
        <f t="shared" si="681"/>
        <v>0</v>
      </c>
      <c r="K2671" s="90">
        <f t="shared" si="682"/>
        <v>0</v>
      </c>
      <c r="L2671" s="90">
        <f t="shared" si="683"/>
        <v>0</v>
      </c>
      <c r="M2671" s="90">
        <f t="shared" si="684"/>
        <v>0</v>
      </c>
      <c r="N2671" s="90">
        <v>0</v>
      </c>
      <c r="O2671" s="90">
        <f t="shared" si="685"/>
        <v>0</v>
      </c>
      <c r="P2671" s="92" t="s">
        <v>1647</v>
      </c>
      <c r="Z2671" s="93">
        <f t="shared" si="686"/>
        <v>0</v>
      </c>
      <c r="AB2671" s="93">
        <f t="shared" si="687"/>
        <v>0</v>
      </c>
      <c r="AC2671" s="93">
        <f t="shared" si="688"/>
        <v>0</v>
      </c>
      <c r="AD2671" s="93">
        <f t="shared" si="689"/>
        <v>0</v>
      </c>
      <c r="AE2671" s="93">
        <f t="shared" si="690"/>
        <v>0</v>
      </c>
      <c r="AF2671" s="93">
        <f t="shared" si="691"/>
        <v>0</v>
      </c>
      <c r="AG2671" s="93">
        <f t="shared" si="692"/>
        <v>0</v>
      </c>
      <c r="AH2671" s="93">
        <f t="shared" si="693"/>
        <v>0</v>
      </c>
      <c r="AI2671" s="88" t="s">
        <v>55</v>
      </c>
      <c r="AJ2671" s="93">
        <f t="shared" si="694"/>
        <v>0</v>
      </c>
      <c r="AK2671" s="93">
        <f t="shared" si="695"/>
        <v>0</v>
      </c>
      <c r="AL2671" s="93">
        <f t="shared" si="696"/>
        <v>0</v>
      </c>
      <c r="AN2671" s="93">
        <v>21</v>
      </c>
      <c r="AO2671" s="93">
        <f t="shared" si="697"/>
        <v>0</v>
      </c>
      <c r="AP2671" s="93">
        <f t="shared" si="698"/>
        <v>0</v>
      </c>
      <c r="AQ2671" s="94" t="s">
        <v>118</v>
      </c>
      <c r="AV2671" s="93">
        <f t="shared" si="699"/>
        <v>0</v>
      </c>
      <c r="AW2671" s="93">
        <f t="shared" si="700"/>
        <v>0</v>
      </c>
      <c r="AX2671" s="93">
        <f t="shared" si="701"/>
        <v>0</v>
      </c>
      <c r="AY2671" s="94" t="s">
        <v>3494</v>
      </c>
      <c r="AZ2671" s="94" t="s">
        <v>3495</v>
      </c>
      <c r="BA2671" s="88" t="s">
        <v>67</v>
      </c>
      <c r="BC2671" s="93">
        <f t="shared" si="702"/>
        <v>0</v>
      </c>
      <c r="BD2671" s="93">
        <f t="shared" si="703"/>
        <v>0</v>
      </c>
      <c r="BE2671" s="93">
        <v>0</v>
      </c>
      <c r="BF2671" s="93">
        <f t="shared" si="704"/>
        <v>0</v>
      </c>
      <c r="BH2671" s="93">
        <f t="shared" si="705"/>
        <v>0</v>
      </c>
      <c r="BI2671" s="93">
        <f t="shared" si="706"/>
        <v>0</v>
      </c>
      <c r="BJ2671" s="93">
        <f t="shared" si="707"/>
        <v>0</v>
      </c>
      <c r="BK2671" s="93"/>
      <c r="BL2671" s="93"/>
      <c r="BW2671" s="93" t="str">
        <f t="shared" si="708"/>
        <v>21</v>
      </c>
      <c r="BX2671" s="2" t="s">
        <v>3885</v>
      </c>
    </row>
    <row r="2672" spans="1:76" s="81" customFormat="1" ht="25.5" x14ac:dyDescent="0.25">
      <c r="A2672" s="66" t="s">
        <v>3904</v>
      </c>
      <c r="B2672" s="72" t="s">
        <v>55</v>
      </c>
      <c r="C2672" s="72" t="s">
        <v>3887</v>
      </c>
      <c r="D2672" s="174" t="s">
        <v>3888</v>
      </c>
      <c r="E2672" s="174"/>
      <c r="F2672" s="72" t="s">
        <v>3514</v>
      </c>
      <c r="G2672" s="90">
        <v>7</v>
      </c>
      <c r="H2672" s="91"/>
      <c r="I2672" s="92" t="s">
        <v>63</v>
      </c>
      <c r="J2672" s="90">
        <f t="shared" si="681"/>
        <v>0</v>
      </c>
      <c r="K2672" s="90">
        <f t="shared" si="682"/>
        <v>0</v>
      </c>
      <c r="L2672" s="90">
        <f t="shared" si="683"/>
        <v>0</v>
      </c>
      <c r="M2672" s="90">
        <f t="shared" si="684"/>
        <v>0</v>
      </c>
      <c r="N2672" s="90">
        <v>0</v>
      </c>
      <c r="O2672" s="90">
        <f t="shared" si="685"/>
        <v>0</v>
      </c>
      <c r="P2672" s="92" t="s">
        <v>1647</v>
      </c>
      <c r="Z2672" s="93">
        <f t="shared" si="686"/>
        <v>0</v>
      </c>
      <c r="AB2672" s="93">
        <f t="shared" si="687"/>
        <v>0</v>
      </c>
      <c r="AC2672" s="93">
        <f t="shared" si="688"/>
        <v>0</v>
      </c>
      <c r="AD2672" s="93">
        <f t="shared" si="689"/>
        <v>0</v>
      </c>
      <c r="AE2672" s="93">
        <f t="shared" si="690"/>
        <v>0</v>
      </c>
      <c r="AF2672" s="93">
        <f t="shared" si="691"/>
        <v>0</v>
      </c>
      <c r="AG2672" s="93">
        <f t="shared" si="692"/>
        <v>0</v>
      </c>
      <c r="AH2672" s="93">
        <f t="shared" si="693"/>
        <v>0</v>
      </c>
      <c r="AI2672" s="88" t="s">
        <v>55</v>
      </c>
      <c r="AJ2672" s="93">
        <f t="shared" si="694"/>
        <v>0</v>
      </c>
      <c r="AK2672" s="93">
        <f t="shared" si="695"/>
        <v>0</v>
      </c>
      <c r="AL2672" s="93">
        <f t="shared" si="696"/>
        <v>0</v>
      </c>
      <c r="AN2672" s="93">
        <v>21</v>
      </c>
      <c r="AO2672" s="93">
        <f t="shared" si="697"/>
        <v>0</v>
      </c>
      <c r="AP2672" s="93">
        <f t="shared" si="698"/>
        <v>0</v>
      </c>
      <c r="AQ2672" s="94" t="s">
        <v>118</v>
      </c>
      <c r="AV2672" s="93">
        <f t="shared" si="699"/>
        <v>0</v>
      </c>
      <c r="AW2672" s="93">
        <f t="shared" si="700"/>
        <v>0</v>
      </c>
      <c r="AX2672" s="93">
        <f t="shared" si="701"/>
        <v>0</v>
      </c>
      <c r="AY2672" s="94" t="s">
        <v>3494</v>
      </c>
      <c r="AZ2672" s="94" t="s">
        <v>3495</v>
      </c>
      <c r="BA2672" s="88" t="s">
        <v>67</v>
      </c>
      <c r="BC2672" s="93">
        <f t="shared" si="702"/>
        <v>0</v>
      </c>
      <c r="BD2672" s="93">
        <f t="shared" si="703"/>
        <v>0</v>
      </c>
      <c r="BE2672" s="93">
        <v>0</v>
      </c>
      <c r="BF2672" s="93">
        <f t="shared" si="704"/>
        <v>0</v>
      </c>
      <c r="BH2672" s="93">
        <f t="shared" si="705"/>
        <v>0</v>
      </c>
      <c r="BI2672" s="93">
        <f t="shared" si="706"/>
        <v>0</v>
      </c>
      <c r="BJ2672" s="93">
        <f t="shared" si="707"/>
        <v>0</v>
      </c>
      <c r="BK2672" s="93"/>
      <c r="BL2672" s="93"/>
      <c r="BW2672" s="93" t="str">
        <f t="shared" si="708"/>
        <v>21</v>
      </c>
      <c r="BX2672" s="2" t="s">
        <v>3888</v>
      </c>
    </row>
    <row r="2673" spans="1:76" s="81" customFormat="1" ht="25.5" x14ac:dyDescent="0.25">
      <c r="A2673" s="66" t="s">
        <v>3907</v>
      </c>
      <c r="B2673" s="72" t="s">
        <v>55</v>
      </c>
      <c r="C2673" s="72" t="s">
        <v>3890</v>
      </c>
      <c r="D2673" s="174" t="s">
        <v>3891</v>
      </c>
      <c r="E2673" s="174"/>
      <c r="F2673" s="72" t="s">
        <v>3514</v>
      </c>
      <c r="G2673" s="90">
        <v>1</v>
      </c>
      <c r="H2673" s="91"/>
      <c r="I2673" s="92" t="s">
        <v>63</v>
      </c>
      <c r="J2673" s="90">
        <f t="shared" si="681"/>
        <v>0</v>
      </c>
      <c r="K2673" s="90">
        <f t="shared" si="682"/>
        <v>0</v>
      </c>
      <c r="L2673" s="90">
        <f t="shared" si="683"/>
        <v>0</v>
      </c>
      <c r="M2673" s="90">
        <f t="shared" si="684"/>
        <v>0</v>
      </c>
      <c r="N2673" s="90">
        <v>0</v>
      </c>
      <c r="O2673" s="90">
        <f t="shared" si="685"/>
        <v>0</v>
      </c>
      <c r="P2673" s="92" t="s">
        <v>1647</v>
      </c>
      <c r="Z2673" s="93">
        <f t="shared" si="686"/>
        <v>0</v>
      </c>
      <c r="AB2673" s="93">
        <f t="shared" si="687"/>
        <v>0</v>
      </c>
      <c r="AC2673" s="93">
        <f t="shared" si="688"/>
        <v>0</v>
      </c>
      <c r="AD2673" s="93">
        <f t="shared" si="689"/>
        <v>0</v>
      </c>
      <c r="AE2673" s="93">
        <f t="shared" si="690"/>
        <v>0</v>
      </c>
      <c r="AF2673" s="93">
        <f t="shared" si="691"/>
        <v>0</v>
      </c>
      <c r="AG2673" s="93">
        <f t="shared" si="692"/>
        <v>0</v>
      </c>
      <c r="AH2673" s="93">
        <f t="shared" si="693"/>
        <v>0</v>
      </c>
      <c r="AI2673" s="88" t="s">
        <v>55</v>
      </c>
      <c r="AJ2673" s="93">
        <f t="shared" si="694"/>
        <v>0</v>
      </c>
      <c r="AK2673" s="93">
        <f t="shared" si="695"/>
        <v>0</v>
      </c>
      <c r="AL2673" s="93">
        <f t="shared" si="696"/>
        <v>0</v>
      </c>
      <c r="AN2673" s="93">
        <v>21</v>
      </c>
      <c r="AO2673" s="93">
        <f t="shared" si="697"/>
        <v>0</v>
      </c>
      <c r="AP2673" s="93">
        <f t="shared" si="698"/>
        <v>0</v>
      </c>
      <c r="AQ2673" s="94" t="s">
        <v>118</v>
      </c>
      <c r="AV2673" s="93">
        <f t="shared" si="699"/>
        <v>0</v>
      </c>
      <c r="AW2673" s="93">
        <f t="shared" si="700"/>
        <v>0</v>
      </c>
      <c r="AX2673" s="93">
        <f t="shared" si="701"/>
        <v>0</v>
      </c>
      <c r="AY2673" s="94" t="s">
        <v>3494</v>
      </c>
      <c r="AZ2673" s="94" t="s">
        <v>3495</v>
      </c>
      <c r="BA2673" s="88" t="s">
        <v>67</v>
      </c>
      <c r="BC2673" s="93">
        <f t="shared" si="702"/>
        <v>0</v>
      </c>
      <c r="BD2673" s="93">
        <f t="shared" si="703"/>
        <v>0</v>
      </c>
      <c r="BE2673" s="93">
        <v>0</v>
      </c>
      <c r="BF2673" s="93">
        <f t="shared" si="704"/>
        <v>0</v>
      </c>
      <c r="BH2673" s="93">
        <f t="shared" si="705"/>
        <v>0</v>
      </c>
      <c r="BI2673" s="93">
        <f t="shared" si="706"/>
        <v>0</v>
      </c>
      <c r="BJ2673" s="93">
        <f t="shared" si="707"/>
        <v>0</v>
      </c>
      <c r="BK2673" s="93"/>
      <c r="BL2673" s="93"/>
      <c r="BW2673" s="93" t="str">
        <f t="shared" si="708"/>
        <v>21</v>
      </c>
      <c r="BX2673" s="2" t="s">
        <v>3891</v>
      </c>
    </row>
    <row r="2674" spans="1:76" s="81" customFormat="1" ht="25.5" x14ac:dyDescent="0.25">
      <c r="A2674" s="66" t="s">
        <v>3910</v>
      </c>
      <c r="B2674" s="72" t="s">
        <v>55</v>
      </c>
      <c r="C2674" s="72" t="s">
        <v>3893</v>
      </c>
      <c r="D2674" s="174" t="s">
        <v>3894</v>
      </c>
      <c r="E2674" s="174"/>
      <c r="F2674" s="72" t="s">
        <v>3514</v>
      </c>
      <c r="G2674" s="90">
        <v>1</v>
      </c>
      <c r="H2674" s="91"/>
      <c r="I2674" s="92" t="s">
        <v>63</v>
      </c>
      <c r="J2674" s="90">
        <f t="shared" si="681"/>
        <v>0</v>
      </c>
      <c r="K2674" s="90">
        <f t="shared" si="682"/>
        <v>0</v>
      </c>
      <c r="L2674" s="90">
        <f t="shared" si="683"/>
        <v>0</v>
      </c>
      <c r="M2674" s="90">
        <f t="shared" si="684"/>
        <v>0</v>
      </c>
      <c r="N2674" s="90">
        <v>0</v>
      </c>
      <c r="O2674" s="90">
        <f t="shared" si="685"/>
        <v>0</v>
      </c>
      <c r="P2674" s="92" t="s">
        <v>1647</v>
      </c>
      <c r="Z2674" s="93">
        <f t="shared" si="686"/>
        <v>0</v>
      </c>
      <c r="AB2674" s="93">
        <f t="shared" si="687"/>
        <v>0</v>
      </c>
      <c r="AC2674" s="93">
        <f t="shared" si="688"/>
        <v>0</v>
      </c>
      <c r="AD2674" s="93">
        <f t="shared" si="689"/>
        <v>0</v>
      </c>
      <c r="AE2674" s="93">
        <f t="shared" si="690"/>
        <v>0</v>
      </c>
      <c r="AF2674" s="93">
        <f t="shared" si="691"/>
        <v>0</v>
      </c>
      <c r="AG2674" s="93">
        <f t="shared" si="692"/>
        <v>0</v>
      </c>
      <c r="AH2674" s="93">
        <f t="shared" si="693"/>
        <v>0</v>
      </c>
      <c r="AI2674" s="88" t="s">
        <v>55</v>
      </c>
      <c r="AJ2674" s="93">
        <f t="shared" si="694"/>
        <v>0</v>
      </c>
      <c r="AK2674" s="93">
        <f t="shared" si="695"/>
        <v>0</v>
      </c>
      <c r="AL2674" s="93">
        <f t="shared" si="696"/>
        <v>0</v>
      </c>
      <c r="AN2674" s="93">
        <v>21</v>
      </c>
      <c r="AO2674" s="93">
        <f t="shared" si="697"/>
        <v>0</v>
      </c>
      <c r="AP2674" s="93">
        <f t="shared" si="698"/>
        <v>0</v>
      </c>
      <c r="AQ2674" s="94" t="s">
        <v>118</v>
      </c>
      <c r="AV2674" s="93">
        <f t="shared" si="699"/>
        <v>0</v>
      </c>
      <c r="AW2674" s="93">
        <f t="shared" si="700"/>
        <v>0</v>
      </c>
      <c r="AX2674" s="93">
        <f t="shared" si="701"/>
        <v>0</v>
      </c>
      <c r="AY2674" s="94" t="s">
        <v>3494</v>
      </c>
      <c r="AZ2674" s="94" t="s">
        <v>3495</v>
      </c>
      <c r="BA2674" s="88" t="s">
        <v>67</v>
      </c>
      <c r="BC2674" s="93">
        <f t="shared" si="702"/>
        <v>0</v>
      </c>
      <c r="BD2674" s="93">
        <f t="shared" si="703"/>
        <v>0</v>
      </c>
      <c r="BE2674" s="93">
        <v>0</v>
      </c>
      <c r="BF2674" s="93">
        <f t="shared" si="704"/>
        <v>0</v>
      </c>
      <c r="BH2674" s="93">
        <f t="shared" si="705"/>
        <v>0</v>
      </c>
      <c r="BI2674" s="93">
        <f t="shared" si="706"/>
        <v>0</v>
      </c>
      <c r="BJ2674" s="93">
        <f t="shared" si="707"/>
        <v>0</v>
      </c>
      <c r="BK2674" s="93"/>
      <c r="BL2674" s="93"/>
      <c r="BW2674" s="93" t="str">
        <f t="shared" si="708"/>
        <v>21</v>
      </c>
      <c r="BX2674" s="2" t="s">
        <v>3894</v>
      </c>
    </row>
    <row r="2675" spans="1:76" s="81" customFormat="1" ht="25.5" x14ac:dyDescent="0.25">
      <c r="A2675" s="66" t="s">
        <v>3913</v>
      </c>
      <c r="B2675" s="72" t="s">
        <v>55</v>
      </c>
      <c r="C2675" s="72" t="s">
        <v>3896</v>
      </c>
      <c r="D2675" s="174" t="s">
        <v>3897</v>
      </c>
      <c r="E2675" s="174"/>
      <c r="F2675" s="72" t="s">
        <v>3514</v>
      </c>
      <c r="G2675" s="90">
        <v>1</v>
      </c>
      <c r="H2675" s="91"/>
      <c r="I2675" s="92" t="s">
        <v>63</v>
      </c>
      <c r="J2675" s="90">
        <f t="shared" si="681"/>
        <v>0</v>
      </c>
      <c r="K2675" s="90">
        <f t="shared" si="682"/>
        <v>0</v>
      </c>
      <c r="L2675" s="90">
        <f t="shared" si="683"/>
        <v>0</v>
      </c>
      <c r="M2675" s="90">
        <f t="shared" si="684"/>
        <v>0</v>
      </c>
      <c r="N2675" s="90">
        <v>0</v>
      </c>
      <c r="O2675" s="90">
        <f t="shared" si="685"/>
        <v>0</v>
      </c>
      <c r="P2675" s="92" t="s">
        <v>1647</v>
      </c>
      <c r="Z2675" s="93">
        <f t="shared" si="686"/>
        <v>0</v>
      </c>
      <c r="AB2675" s="93">
        <f t="shared" si="687"/>
        <v>0</v>
      </c>
      <c r="AC2675" s="93">
        <f t="shared" si="688"/>
        <v>0</v>
      </c>
      <c r="AD2675" s="93">
        <f t="shared" si="689"/>
        <v>0</v>
      </c>
      <c r="AE2675" s="93">
        <f t="shared" si="690"/>
        <v>0</v>
      </c>
      <c r="AF2675" s="93">
        <f t="shared" si="691"/>
        <v>0</v>
      </c>
      <c r="AG2675" s="93">
        <f t="shared" si="692"/>
        <v>0</v>
      </c>
      <c r="AH2675" s="93">
        <f t="shared" si="693"/>
        <v>0</v>
      </c>
      <c r="AI2675" s="88" t="s">
        <v>55</v>
      </c>
      <c r="AJ2675" s="93">
        <f t="shared" si="694"/>
        <v>0</v>
      </c>
      <c r="AK2675" s="93">
        <f t="shared" si="695"/>
        <v>0</v>
      </c>
      <c r="AL2675" s="93">
        <f t="shared" si="696"/>
        <v>0</v>
      </c>
      <c r="AN2675" s="93">
        <v>21</v>
      </c>
      <c r="AO2675" s="93">
        <f t="shared" si="697"/>
        <v>0</v>
      </c>
      <c r="AP2675" s="93">
        <f t="shared" si="698"/>
        <v>0</v>
      </c>
      <c r="AQ2675" s="94" t="s">
        <v>118</v>
      </c>
      <c r="AV2675" s="93">
        <f t="shared" si="699"/>
        <v>0</v>
      </c>
      <c r="AW2675" s="93">
        <f t="shared" si="700"/>
        <v>0</v>
      </c>
      <c r="AX2675" s="93">
        <f t="shared" si="701"/>
        <v>0</v>
      </c>
      <c r="AY2675" s="94" t="s">
        <v>3494</v>
      </c>
      <c r="AZ2675" s="94" t="s">
        <v>3495</v>
      </c>
      <c r="BA2675" s="88" t="s">
        <v>67</v>
      </c>
      <c r="BC2675" s="93">
        <f t="shared" si="702"/>
        <v>0</v>
      </c>
      <c r="BD2675" s="93">
        <f t="shared" si="703"/>
        <v>0</v>
      </c>
      <c r="BE2675" s="93">
        <v>0</v>
      </c>
      <c r="BF2675" s="93">
        <f t="shared" si="704"/>
        <v>0</v>
      </c>
      <c r="BH2675" s="93">
        <f t="shared" si="705"/>
        <v>0</v>
      </c>
      <c r="BI2675" s="93">
        <f t="shared" si="706"/>
        <v>0</v>
      </c>
      <c r="BJ2675" s="93">
        <f t="shared" si="707"/>
        <v>0</v>
      </c>
      <c r="BK2675" s="93"/>
      <c r="BL2675" s="93"/>
      <c r="BW2675" s="93" t="str">
        <f t="shared" si="708"/>
        <v>21</v>
      </c>
      <c r="BX2675" s="2" t="s">
        <v>3897</v>
      </c>
    </row>
    <row r="2676" spans="1:76" s="81" customFormat="1" ht="25.5" x14ac:dyDescent="0.25">
      <c r="A2676" s="66" t="s">
        <v>3916</v>
      </c>
      <c r="B2676" s="72" t="s">
        <v>55</v>
      </c>
      <c r="C2676" s="72" t="s">
        <v>3899</v>
      </c>
      <c r="D2676" s="174" t="s">
        <v>3900</v>
      </c>
      <c r="E2676" s="174"/>
      <c r="F2676" s="72" t="s">
        <v>3514</v>
      </c>
      <c r="G2676" s="90">
        <v>1</v>
      </c>
      <c r="H2676" s="91"/>
      <c r="I2676" s="92" t="s">
        <v>63</v>
      </c>
      <c r="J2676" s="90">
        <f t="shared" si="681"/>
        <v>0</v>
      </c>
      <c r="K2676" s="90">
        <f t="shared" si="682"/>
        <v>0</v>
      </c>
      <c r="L2676" s="90">
        <f t="shared" si="683"/>
        <v>0</v>
      </c>
      <c r="M2676" s="90">
        <f t="shared" si="684"/>
        <v>0</v>
      </c>
      <c r="N2676" s="90">
        <v>0</v>
      </c>
      <c r="O2676" s="90">
        <f t="shared" si="685"/>
        <v>0</v>
      </c>
      <c r="P2676" s="92" t="s">
        <v>1647</v>
      </c>
      <c r="Z2676" s="93">
        <f t="shared" si="686"/>
        <v>0</v>
      </c>
      <c r="AB2676" s="93">
        <f t="shared" si="687"/>
        <v>0</v>
      </c>
      <c r="AC2676" s="93">
        <f t="shared" si="688"/>
        <v>0</v>
      </c>
      <c r="AD2676" s="93">
        <f t="shared" si="689"/>
        <v>0</v>
      </c>
      <c r="AE2676" s="93">
        <f t="shared" si="690"/>
        <v>0</v>
      </c>
      <c r="AF2676" s="93">
        <f t="shared" si="691"/>
        <v>0</v>
      </c>
      <c r="AG2676" s="93">
        <f t="shared" si="692"/>
        <v>0</v>
      </c>
      <c r="AH2676" s="93">
        <f t="shared" si="693"/>
        <v>0</v>
      </c>
      <c r="AI2676" s="88" t="s">
        <v>55</v>
      </c>
      <c r="AJ2676" s="93">
        <f t="shared" si="694"/>
        <v>0</v>
      </c>
      <c r="AK2676" s="93">
        <f t="shared" si="695"/>
        <v>0</v>
      </c>
      <c r="AL2676" s="93">
        <f t="shared" si="696"/>
        <v>0</v>
      </c>
      <c r="AN2676" s="93">
        <v>21</v>
      </c>
      <c r="AO2676" s="93">
        <f t="shared" si="697"/>
        <v>0</v>
      </c>
      <c r="AP2676" s="93">
        <f t="shared" si="698"/>
        <v>0</v>
      </c>
      <c r="AQ2676" s="94" t="s">
        <v>118</v>
      </c>
      <c r="AV2676" s="93">
        <f t="shared" si="699"/>
        <v>0</v>
      </c>
      <c r="AW2676" s="93">
        <f t="shared" si="700"/>
        <v>0</v>
      </c>
      <c r="AX2676" s="93">
        <f t="shared" si="701"/>
        <v>0</v>
      </c>
      <c r="AY2676" s="94" t="s">
        <v>3494</v>
      </c>
      <c r="AZ2676" s="94" t="s">
        <v>3495</v>
      </c>
      <c r="BA2676" s="88" t="s">
        <v>67</v>
      </c>
      <c r="BC2676" s="93">
        <f t="shared" si="702"/>
        <v>0</v>
      </c>
      <c r="BD2676" s="93">
        <f t="shared" si="703"/>
        <v>0</v>
      </c>
      <c r="BE2676" s="93">
        <v>0</v>
      </c>
      <c r="BF2676" s="93">
        <f t="shared" si="704"/>
        <v>0</v>
      </c>
      <c r="BH2676" s="93">
        <f t="shared" si="705"/>
        <v>0</v>
      </c>
      <c r="BI2676" s="93">
        <f t="shared" si="706"/>
        <v>0</v>
      </c>
      <c r="BJ2676" s="93">
        <f t="shared" si="707"/>
        <v>0</v>
      </c>
      <c r="BK2676" s="93"/>
      <c r="BL2676" s="93"/>
      <c r="BW2676" s="93" t="str">
        <f t="shared" si="708"/>
        <v>21</v>
      </c>
      <c r="BX2676" s="2" t="s">
        <v>3900</v>
      </c>
    </row>
    <row r="2677" spans="1:76" s="81" customFormat="1" ht="25.5" x14ac:dyDescent="0.25">
      <c r="A2677" s="66" t="s">
        <v>3919</v>
      </c>
      <c r="B2677" s="72" t="s">
        <v>55</v>
      </c>
      <c r="C2677" s="72" t="s">
        <v>3902</v>
      </c>
      <c r="D2677" s="174" t="s">
        <v>3903</v>
      </c>
      <c r="E2677" s="174"/>
      <c r="F2677" s="72" t="s">
        <v>192</v>
      </c>
      <c r="G2677" s="90">
        <v>18</v>
      </c>
      <c r="H2677" s="91"/>
      <c r="I2677" s="92" t="s">
        <v>63</v>
      </c>
      <c r="J2677" s="90">
        <f t="shared" si="681"/>
        <v>0</v>
      </c>
      <c r="K2677" s="90">
        <f t="shared" si="682"/>
        <v>0</v>
      </c>
      <c r="L2677" s="90">
        <f t="shared" si="683"/>
        <v>0</v>
      </c>
      <c r="M2677" s="90">
        <f t="shared" si="684"/>
        <v>0</v>
      </c>
      <c r="N2677" s="90">
        <v>0</v>
      </c>
      <c r="O2677" s="90">
        <f t="shared" si="685"/>
        <v>0</v>
      </c>
      <c r="P2677" s="92" t="s">
        <v>1647</v>
      </c>
      <c r="Z2677" s="93">
        <f t="shared" si="686"/>
        <v>0</v>
      </c>
      <c r="AB2677" s="93">
        <f t="shared" si="687"/>
        <v>0</v>
      </c>
      <c r="AC2677" s="93">
        <f t="shared" si="688"/>
        <v>0</v>
      </c>
      <c r="AD2677" s="93">
        <f t="shared" si="689"/>
        <v>0</v>
      </c>
      <c r="AE2677" s="93">
        <f t="shared" si="690"/>
        <v>0</v>
      </c>
      <c r="AF2677" s="93">
        <f t="shared" si="691"/>
        <v>0</v>
      </c>
      <c r="AG2677" s="93">
        <f t="shared" si="692"/>
        <v>0</v>
      </c>
      <c r="AH2677" s="93">
        <f t="shared" si="693"/>
        <v>0</v>
      </c>
      <c r="AI2677" s="88" t="s">
        <v>55</v>
      </c>
      <c r="AJ2677" s="93">
        <f t="shared" si="694"/>
        <v>0</v>
      </c>
      <c r="AK2677" s="93">
        <f t="shared" si="695"/>
        <v>0</v>
      </c>
      <c r="AL2677" s="93">
        <f t="shared" si="696"/>
        <v>0</v>
      </c>
      <c r="AN2677" s="93">
        <v>21</v>
      </c>
      <c r="AO2677" s="93">
        <f t="shared" si="697"/>
        <v>0</v>
      </c>
      <c r="AP2677" s="93">
        <f t="shared" si="698"/>
        <v>0</v>
      </c>
      <c r="AQ2677" s="94" t="s">
        <v>118</v>
      </c>
      <c r="AV2677" s="93">
        <f t="shared" si="699"/>
        <v>0</v>
      </c>
      <c r="AW2677" s="93">
        <f t="shared" si="700"/>
        <v>0</v>
      </c>
      <c r="AX2677" s="93">
        <f t="shared" si="701"/>
        <v>0</v>
      </c>
      <c r="AY2677" s="94" t="s">
        <v>3494</v>
      </c>
      <c r="AZ2677" s="94" t="s">
        <v>3495</v>
      </c>
      <c r="BA2677" s="88" t="s">
        <v>67</v>
      </c>
      <c r="BC2677" s="93">
        <f t="shared" si="702"/>
        <v>0</v>
      </c>
      <c r="BD2677" s="93">
        <f t="shared" si="703"/>
        <v>0</v>
      </c>
      <c r="BE2677" s="93">
        <v>0</v>
      </c>
      <c r="BF2677" s="93">
        <f t="shared" si="704"/>
        <v>0</v>
      </c>
      <c r="BH2677" s="93">
        <f t="shared" si="705"/>
        <v>0</v>
      </c>
      <c r="BI2677" s="93">
        <f t="shared" si="706"/>
        <v>0</v>
      </c>
      <c r="BJ2677" s="93">
        <f t="shared" si="707"/>
        <v>0</v>
      </c>
      <c r="BK2677" s="93"/>
      <c r="BL2677" s="93"/>
      <c r="BW2677" s="93" t="str">
        <f t="shared" si="708"/>
        <v>21</v>
      </c>
      <c r="BX2677" s="2" t="s">
        <v>3903</v>
      </c>
    </row>
    <row r="2678" spans="1:76" s="81" customFormat="1" ht="25.5" x14ac:dyDescent="0.25">
      <c r="A2678" s="66" t="s">
        <v>3922</v>
      </c>
      <c r="B2678" s="72" t="s">
        <v>55</v>
      </c>
      <c r="C2678" s="72" t="s">
        <v>3905</v>
      </c>
      <c r="D2678" s="174" t="s">
        <v>3906</v>
      </c>
      <c r="E2678" s="174"/>
      <c r="F2678" s="72" t="s">
        <v>213</v>
      </c>
      <c r="G2678" s="90">
        <v>36</v>
      </c>
      <c r="H2678" s="91"/>
      <c r="I2678" s="92" t="s">
        <v>63</v>
      </c>
      <c r="J2678" s="90">
        <f t="shared" si="681"/>
        <v>0</v>
      </c>
      <c r="K2678" s="90">
        <f t="shared" si="682"/>
        <v>0</v>
      </c>
      <c r="L2678" s="90">
        <f t="shared" si="683"/>
        <v>0</v>
      </c>
      <c r="M2678" s="90">
        <f t="shared" si="684"/>
        <v>0</v>
      </c>
      <c r="N2678" s="90">
        <v>0</v>
      </c>
      <c r="O2678" s="90">
        <f t="shared" si="685"/>
        <v>0</v>
      </c>
      <c r="P2678" s="92" t="s">
        <v>1647</v>
      </c>
      <c r="Z2678" s="93">
        <f t="shared" si="686"/>
        <v>0</v>
      </c>
      <c r="AB2678" s="93">
        <f t="shared" si="687"/>
        <v>0</v>
      </c>
      <c r="AC2678" s="93">
        <f t="shared" si="688"/>
        <v>0</v>
      </c>
      <c r="AD2678" s="93">
        <f t="shared" si="689"/>
        <v>0</v>
      </c>
      <c r="AE2678" s="93">
        <f t="shared" si="690"/>
        <v>0</v>
      </c>
      <c r="AF2678" s="93">
        <f t="shared" si="691"/>
        <v>0</v>
      </c>
      <c r="AG2678" s="93">
        <f t="shared" si="692"/>
        <v>0</v>
      </c>
      <c r="AH2678" s="93">
        <f t="shared" si="693"/>
        <v>0</v>
      </c>
      <c r="AI2678" s="88" t="s">
        <v>55</v>
      </c>
      <c r="AJ2678" s="93">
        <f t="shared" si="694"/>
        <v>0</v>
      </c>
      <c r="AK2678" s="93">
        <f t="shared" si="695"/>
        <v>0</v>
      </c>
      <c r="AL2678" s="93">
        <f t="shared" si="696"/>
        <v>0</v>
      </c>
      <c r="AN2678" s="93">
        <v>21</v>
      </c>
      <c r="AO2678" s="93">
        <f t="shared" si="697"/>
        <v>0</v>
      </c>
      <c r="AP2678" s="93">
        <f t="shared" si="698"/>
        <v>0</v>
      </c>
      <c r="AQ2678" s="94" t="s">
        <v>118</v>
      </c>
      <c r="AV2678" s="93">
        <f t="shared" si="699"/>
        <v>0</v>
      </c>
      <c r="AW2678" s="93">
        <f t="shared" si="700"/>
        <v>0</v>
      </c>
      <c r="AX2678" s="93">
        <f t="shared" si="701"/>
        <v>0</v>
      </c>
      <c r="AY2678" s="94" t="s">
        <v>3494</v>
      </c>
      <c r="AZ2678" s="94" t="s">
        <v>3495</v>
      </c>
      <c r="BA2678" s="88" t="s">
        <v>67</v>
      </c>
      <c r="BC2678" s="93">
        <f t="shared" si="702"/>
        <v>0</v>
      </c>
      <c r="BD2678" s="93">
        <f t="shared" si="703"/>
        <v>0</v>
      </c>
      <c r="BE2678" s="93">
        <v>0</v>
      </c>
      <c r="BF2678" s="93">
        <f t="shared" si="704"/>
        <v>0</v>
      </c>
      <c r="BH2678" s="93">
        <f t="shared" si="705"/>
        <v>0</v>
      </c>
      <c r="BI2678" s="93">
        <f t="shared" si="706"/>
        <v>0</v>
      </c>
      <c r="BJ2678" s="93">
        <f t="shared" si="707"/>
        <v>0</v>
      </c>
      <c r="BK2678" s="93"/>
      <c r="BL2678" s="93"/>
      <c r="BW2678" s="93" t="str">
        <f t="shared" si="708"/>
        <v>21</v>
      </c>
      <c r="BX2678" s="2" t="s">
        <v>3906</v>
      </c>
    </row>
    <row r="2679" spans="1:76" s="81" customFormat="1" ht="25.5" x14ac:dyDescent="0.25">
      <c r="A2679" s="66" t="s">
        <v>3925</v>
      </c>
      <c r="B2679" s="72" t="s">
        <v>55</v>
      </c>
      <c r="C2679" s="72" t="s">
        <v>3908</v>
      </c>
      <c r="D2679" s="174" t="s">
        <v>3909</v>
      </c>
      <c r="E2679" s="174"/>
      <c r="F2679" s="72" t="s">
        <v>213</v>
      </c>
      <c r="G2679" s="90">
        <v>240</v>
      </c>
      <c r="H2679" s="91"/>
      <c r="I2679" s="92" t="s">
        <v>63</v>
      </c>
      <c r="J2679" s="90">
        <f t="shared" si="681"/>
        <v>0</v>
      </c>
      <c r="K2679" s="90">
        <f t="shared" si="682"/>
        <v>0</v>
      </c>
      <c r="L2679" s="90">
        <f t="shared" si="683"/>
        <v>0</v>
      </c>
      <c r="M2679" s="90">
        <f t="shared" si="684"/>
        <v>0</v>
      </c>
      <c r="N2679" s="90">
        <v>0</v>
      </c>
      <c r="O2679" s="90">
        <f t="shared" si="685"/>
        <v>0</v>
      </c>
      <c r="P2679" s="92" t="s">
        <v>1647</v>
      </c>
      <c r="Z2679" s="93">
        <f t="shared" si="686"/>
        <v>0</v>
      </c>
      <c r="AB2679" s="93">
        <f t="shared" si="687"/>
        <v>0</v>
      </c>
      <c r="AC2679" s="93">
        <f t="shared" si="688"/>
        <v>0</v>
      </c>
      <c r="AD2679" s="93">
        <f t="shared" si="689"/>
        <v>0</v>
      </c>
      <c r="AE2679" s="93">
        <f t="shared" si="690"/>
        <v>0</v>
      </c>
      <c r="AF2679" s="93">
        <f t="shared" si="691"/>
        <v>0</v>
      </c>
      <c r="AG2679" s="93">
        <f t="shared" si="692"/>
        <v>0</v>
      </c>
      <c r="AH2679" s="93">
        <f t="shared" si="693"/>
        <v>0</v>
      </c>
      <c r="AI2679" s="88" t="s">
        <v>55</v>
      </c>
      <c r="AJ2679" s="93">
        <f t="shared" si="694"/>
        <v>0</v>
      </c>
      <c r="AK2679" s="93">
        <f t="shared" si="695"/>
        <v>0</v>
      </c>
      <c r="AL2679" s="93">
        <f t="shared" si="696"/>
        <v>0</v>
      </c>
      <c r="AN2679" s="93">
        <v>21</v>
      </c>
      <c r="AO2679" s="93">
        <f t="shared" si="697"/>
        <v>0</v>
      </c>
      <c r="AP2679" s="93">
        <f t="shared" si="698"/>
        <v>0</v>
      </c>
      <c r="AQ2679" s="94" t="s">
        <v>118</v>
      </c>
      <c r="AV2679" s="93">
        <f t="shared" si="699"/>
        <v>0</v>
      </c>
      <c r="AW2679" s="93">
        <f t="shared" si="700"/>
        <v>0</v>
      </c>
      <c r="AX2679" s="93">
        <f t="shared" si="701"/>
        <v>0</v>
      </c>
      <c r="AY2679" s="94" t="s">
        <v>3494</v>
      </c>
      <c r="AZ2679" s="94" t="s">
        <v>3495</v>
      </c>
      <c r="BA2679" s="88" t="s">
        <v>67</v>
      </c>
      <c r="BC2679" s="93">
        <f t="shared" si="702"/>
        <v>0</v>
      </c>
      <c r="BD2679" s="93">
        <f t="shared" si="703"/>
        <v>0</v>
      </c>
      <c r="BE2679" s="93">
        <v>0</v>
      </c>
      <c r="BF2679" s="93">
        <f t="shared" si="704"/>
        <v>0</v>
      </c>
      <c r="BH2679" s="93">
        <f t="shared" si="705"/>
        <v>0</v>
      </c>
      <c r="BI2679" s="93">
        <f t="shared" si="706"/>
        <v>0</v>
      </c>
      <c r="BJ2679" s="93">
        <f t="shared" si="707"/>
        <v>0</v>
      </c>
      <c r="BK2679" s="93"/>
      <c r="BL2679" s="93"/>
      <c r="BW2679" s="93" t="str">
        <f t="shared" si="708"/>
        <v>21</v>
      </c>
      <c r="BX2679" s="2" t="s">
        <v>3909</v>
      </c>
    </row>
    <row r="2680" spans="1:76" s="81" customFormat="1" ht="25.5" x14ac:dyDescent="0.25">
      <c r="A2680" s="66" t="s">
        <v>3928</v>
      </c>
      <c r="B2680" s="72" t="s">
        <v>55</v>
      </c>
      <c r="C2680" s="72" t="s">
        <v>3911</v>
      </c>
      <c r="D2680" s="174" t="s">
        <v>3912</v>
      </c>
      <c r="E2680" s="174"/>
      <c r="F2680" s="72" t="s">
        <v>213</v>
      </c>
      <c r="G2680" s="90">
        <v>91</v>
      </c>
      <c r="H2680" s="91"/>
      <c r="I2680" s="92" t="s">
        <v>63</v>
      </c>
      <c r="J2680" s="90">
        <f t="shared" si="681"/>
        <v>0</v>
      </c>
      <c r="K2680" s="90">
        <f t="shared" si="682"/>
        <v>0</v>
      </c>
      <c r="L2680" s="90">
        <f t="shared" si="683"/>
        <v>0</v>
      </c>
      <c r="M2680" s="90">
        <f t="shared" si="684"/>
        <v>0</v>
      </c>
      <c r="N2680" s="90">
        <v>0</v>
      </c>
      <c r="O2680" s="90">
        <f t="shared" si="685"/>
        <v>0</v>
      </c>
      <c r="P2680" s="92" t="s">
        <v>1647</v>
      </c>
      <c r="Z2680" s="93">
        <f t="shared" si="686"/>
        <v>0</v>
      </c>
      <c r="AB2680" s="93">
        <f t="shared" si="687"/>
        <v>0</v>
      </c>
      <c r="AC2680" s="93">
        <f t="shared" si="688"/>
        <v>0</v>
      </c>
      <c r="AD2680" s="93">
        <f t="shared" si="689"/>
        <v>0</v>
      </c>
      <c r="AE2680" s="93">
        <f t="shared" si="690"/>
        <v>0</v>
      </c>
      <c r="AF2680" s="93">
        <f t="shared" si="691"/>
        <v>0</v>
      </c>
      <c r="AG2680" s="93">
        <f t="shared" si="692"/>
        <v>0</v>
      </c>
      <c r="AH2680" s="93">
        <f t="shared" si="693"/>
        <v>0</v>
      </c>
      <c r="AI2680" s="88" t="s">
        <v>55</v>
      </c>
      <c r="AJ2680" s="93">
        <f t="shared" si="694"/>
        <v>0</v>
      </c>
      <c r="AK2680" s="93">
        <f t="shared" si="695"/>
        <v>0</v>
      </c>
      <c r="AL2680" s="93">
        <f t="shared" si="696"/>
        <v>0</v>
      </c>
      <c r="AN2680" s="93">
        <v>21</v>
      </c>
      <c r="AO2680" s="93">
        <f t="shared" si="697"/>
        <v>0</v>
      </c>
      <c r="AP2680" s="93">
        <f t="shared" si="698"/>
        <v>0</v>
      </c>
      <c r="AQ2680" s="94" t="s">
        <v>118</v>
      </c>
      <c r="AV2680" s="93">
        <f t="shared" si="699"/>
        <v>0</v>
      </c>
      <c r="AW2680" s="93">
        <f t="shared" si="700"/>
        <v>0</v>
      </c>
      <c r="AX2680" s="93">
        <f t="shared" si="701"/>
        <v>0</v>
      </c>
      <c r="AY2680" s="94" t="s">
        <v>3494</v>
      </c>
      <c r="AZ2680" s="94" t="s">
        <v>3495</v>
      </c>
      <c r="BA2680" s="88" t="s">
        <v>67</v>
      </c>
      <c r="BC2680" s="93">
        <f t="shared" si="702"/>
        <v>0</v>
      </c>
      <c r="BD2680" s="93">
        <f t="shared" si="703"/>
        <v>0</v>
      </c>
      <c r="BE2680" s="93">
        <v>0</v>
      </c>
      <c r="BF2680" s="93">
        <f t="shared" si="704"/>
        <v>0</v>
      </c>
      <c r="BH2680" s="93">
        <f t="shared" si="705"/>
        <v>0</v>
      </c>
      <c r="BI2680" s="93">
        <f t="shared" si="706"/>
        <v>0</v>
      </c>
      <c r="BJ2680" s="93">
        <f t="shared" si="707"/>
        <v>0</v>
      </c>
      <c r="BK2680" s="93"/>
      <c r="BL2680" s="93"/>
      <c r="BW2680" s="93" t="str">
        <f t="shared" si="708"/>
        <v>21</v>
      </c>
      <c r="BX2680" s="2" t="s">
        <v>3912</v>
      </c>
    </row>
    <row r="2681" spans="1:76" s="81" customFormat="1" ht="25.5" x14ac:dyDescent="0.25">
      <c r="A2681" s="66" t="s">
        <v>3930</v>
      </c>
      <c r="B2681" s="72" t="s">
        <v>55</v>
      </c>
      <c r="C2681" s="72" t="s">
        <v>3914</v>
      </c>
      <c r="D2681" s="174" t="s">
        <v>3915</v>
      </c>
      <c r="E2681" s="174"/>
      <c r="F2681" s="72" t="s">
        <v>213</v>
      </c>
      <c r="G2681" s="90">
        <v>330</v>
      </c>
      <c r="H2681" s="91"/>
      <c r="I2681" s="92" t="s">
        <v>63</v>
      </c>
      <c r="J2681" s="90">
        <f t="shared" si="681"/>
        <v>0</v>
      </c>
      <c r="K2681" s="90">
        <f t="shared" si="682"/>
        <v>0</v>
      </c>
      <c r="L2681" s="90">
        <f t="shared" si="683"/>
        <v>0</v>
      </c>
      <c r="M2681" s="90">
        <f t="shared" si="684"/>
        <v>0</v>
      </c>
      <c r="N2681" s="90">
        <v>0</v>
      </c>
      <c r="O2681" s="90">
        <f t="shared" si="685"/>
        <v>0</v>
      </c>
      <c r="P2681" s="92" t="s">
        <v>1647</v>
      </c>
      <c r="Z2681" s="93">
        <f t="shared" si="686"/>
        <v>0</v>
      </c>
      <c r="AB2681" s="93">
        <f t="shared" si="687"/>
        <v>0</v>
      </c>
      <c r="AC2681" s="93">
        <f t="shared" si="688"/>
        <v>0</v>
      </c>
      <c r="AD2681" s="93">
        <f t="shared" si="689"/>
        <v>0</v>
      </c>
      <c r="AE2681" s="93">
        <f t="shared" si="690"/>
        <v>0</v>
      </c>
      <c r="AF2681" s="93">
        <f t="shared" si="691"/>
        <v>0</v>
      </c>
      <c r="AG2681" s="93">
        <f t="shared" si="692"/>
        <v>0</v>
      </c>
      <c r="AH2681" s="93">
        <f t="shared" si="693"/>
        <v>0</v>
      </c>
      <c r="AI2681" s="88" t="s">
        <v>55</v>
      </c>
      <c r="AJ2681" s="93">
        <f t="shared" si="694"/>
        <v>0</v>
      </c>
      <c r="AK2681" s="93">
        <f t="shared" si="695"/>
        <v>0</v>
      </c>
      <c r="AL2681" s="93">
        <f t="shared" si="696"/>
        <v>0</v>
      </c>
      <c r="AN2681" s="93">
        <v>21</v>
      </c>
      <c r="AO2681" s="93">
        <f t="shared" si="697"/>
        <v>0</v>
      </c>
      <c r="AP2681" s="93">
        <f t="shared" si="698"/>
        <v>0</v>
      </c>
      <c r="AQ2681" s="94" t="s">
        <v>118</v>
      </c>
      <c r="AV2681" s="93">
        <f t="shared" si="699"/>
        <v>0</v>
      </c>
      <c r="AW2681" s="93">
        <f t="shared" si="700"/>
        <v>0</v>
      </c>
      <c r="AX2681" s="93">
        <f t="shared" si="701"/>
        <v>0</v>
      </c>
      <c r="AY2681" s="94" t="s">
        <v>3494</v>
      </c>
      <c r="AZ2681" s="94" t="s">
        <v>3495</v>
      </c>
      <c r="BA2681" s="88" t="s">
        <v>67</v>
      </c>
      <c r="BC2681" s="93">
        <f t="shared" si="702"/>
        <v>0</v>
      </c>
      <c r="BD2681" s="93">
        <f t="shared" si="703"/>
        <v>0</v>
      </c>
      <c r="BE2681" s="93">
        <v>0</v>
      </c>
      <c r="BF2681" s="93">
        <f t="shared" si="704"/>
        <v>0</v>
      </c>
      <c r="BH2681" s="93">
        <f t="shared" si="705"/>
        <v>0</v>
      </c>
      <c r="BI2681" s="93">
        <f t="shared" si="706"/>
        <v>0</v>
      </c>
      <c r="BJ2681" s="93">
        <f t="shared" si="707"/>
        <v>0</v>
      </c>
      <c r="BK2681" s="93"/>
      <c r="BL2681" s="93"/>
      <c r="BW2681" s="93" t="str">
        <f t="shared" si="708"/>
        <v>21</v>
      </c>
      <c r="BX2681" s="2" t="s">
        <v>3915</v>
      </c>
    </row>
    <row r="2682" spans="1:76" s="81" customFormat="1" ht="25.5" x14ac:dyDescent="0.25">
      <c r="A2682" s="66" t="s">
        <v>3932</v>
      </c>
      <c r="B2682" s="72" t="s">
        <v>55</v>
      </c>
      <c r="C2682" s="72" t="s">
        <v>3917</v>
      </c>
      <c r="D2682" s="174" t="s">
        <v>3918</v>
      </c>
      <c r="E2682" s="174"/>
      <c r="F2682" s="72" t="s">
        <v>203</v>
      </c>
      <c r="G2682" s="90">
        <v>4</v>
      </c>
      <c r="H2682" s="91"/>
      <c r="I2682" s="92" t="s">
        <v>63</v>
      </c>
      <c r="J2682" s="90">
        <f t="shared" si="681"/>
        <v>0</v>
      </c>
      <c r="K2682" s="90">
        <f t="shared" si="682"/>
        <v>0</v>
      </c>
      <c r="L2682" s="90">
        <f t="shared" si="683"/>
        <v>0</v>
      </c>
      <c r="M2682" s="90">
        <f t="shared" si="684"/>
        <v>0</v>
      </c>
      <c r="N2682" s="90">
        <v>0</v>
      </c>
      <c r="O2682" s="90">
        <f t="shared" si="685"/>
        <v>0</v>
      </c>
      <c r="P2682" s="92" t="s">
        <v>1647</v>
      </c>
      <c r="Z2682" s="93">
        <f t="shared" si="686"/>
        <v>0</v>
      </c>
      <c r="AB2682" s="93">
        <f t="shared" si="687"/>
        <v>0</v>
      </c>
      <c r="AC2682" s="93">
        <f t="shared" si="688"/>
        <v>0</v>
      </c>
      <c r="AD2682" s="93">
        <f t="shared" si="689"/>
        <v>0</v>
      </c>
      <c r="AE2682" s="93">
        <f t="shared" si="690"/>
        <v>0</v>
      </c>
      <c r="AF2682" s="93">
        <f t="shared" si="691"/>
        <v>0</v>
      </c>
      <c r="AG2682" s="93">
        <f t="shared" si="692"/>
        <v>0</v>
      </c>
      <c r="AH2682" s="93">
        <f t="shared" si="693"/>
        <v>0</v>
      </c>
      <c r="AI2682" s="88" t="s">
        <v>55</v>
      </c>
      <c r="AJ2682" s="93">
        <f t="shared" si="694"/>
        <v>0</v>
      </c>
      <c r="AK2682" s="93">
        <f t="shared" si="695"/>
        <v>0</v>
      </c>
      <c r="AL2682" s="93">
        <f t="shared" si="696"/>
        <v>0</v>
      </c>
      <c r="AN2682" s="93">
        <v>21</v>
      </c>
      <c r="AO2682" s="93">
        <f t="shared" si="697"/>
        <v>0</v>
      </c>
      <c r="AP2682" s="93">
        <f t="shared" si="698"/>
        <v>0</v>
      </c>
      <c r="AQ2682" s="94" t="s">
        <v>118</v>
      </c>
      <c r="AV2682" s="93">
        <f t="shared" si="699"/>
        <v>0</v>
      </c>
      <c r="AW2682" s="93">
        <f t="shared" si="700"/>
        <v>0</v>
      </c>
      <c r="AX2682" s="93">
        <f t="shared" si="701"/>
        <v>0</v>
      </c>
      <c r="AY2682" s="94" t="s">
        <v>3494</v>
      </c>
      <c r="AZ2682" s="94" t="s">
        <v>3495</v>
      </c>
      <c r="BA2682" s="88" t="s">
        <v>67</v>
      </c>
      <c r="BC2682" s="93">
        <f t="shared" si="702"/>
        <v>0</v>
      </c>
      <c r="BD2682" s="93">
        <f t="shared" si="703"/>
        <v>0</v>
      </c>
      <c r="BE2682" s="93">
        <v>0</v>
      </c>
      <c r="BF2682" s="93">
        <f t="shared" si="704"/>
        <v>0</v>
      </c>
      <c r="BH2682" s="93">
        <f t="shared" si="705"/>
        <v>0</v>
      </c>
      <c r="BI2682" s="93">
        <f t="shared" si="706"/>
        <v>0</v>
      </c>
      <c r="BJ2682" s="93">
        <f t="shared" si="707"/>
        <v>0</v>
      </c>
      <c r="BK2682" s="93"/>
      <c r="BL2682" s="93"/>
      <c r="BW2682" s="93" t="str">
        <f t="shared" si="708"/>
        <v>21</v>
      </c>
      <c r="BX2682" s="2" t="s">
        <v>3918</v>
      </c>
    </row>
    <row r="2683" spans="1:76" s="81" customFormat="1" ht="25.5" x14ac:dyDescent="0.25">
      <c r="A2683" s="66" t="s">
        <v>3935</v>
      </c>
      <c r="B2683" s="72" t="s">
        <v>55</v>
      </c>
      <c r="C2683" s="72" t="s">
        <v>3920</v>
      </c>
      <c r="D2683" s="174" t="s">
        <v>3921</v>
      </c>
      <c r="E2683" s="174"/>
      <c r="F2683" s="72" t="s">
        <v>213</v>
      </c>
      <c r="G2683" s="90">
        <v>21</v>
      </c>
      <c r="H2683" s="91"/>
      <c r="I2683" s="92" t="s">
        <v>63</v>
      </c>
      <c r="J2683" s="90">
        <f t="shared" si="681"/>
        <v>0</v>
      </c>
      <c r="K2683" s="90">
        <f t="shared" si="682"/>
        <v>0</v>
      </c>
      <c r="L2683" s="90">
        <f t="shared" si="683"/>
        <v>0</v>
      </c>
      <c r="M2683" s="90">
        <f t="shared" si="684"/>
        <v>0</v>
      </c>
      <c r="N2683" s="90">
        <v>0</v>
      </c>
      <c r="O2683" s="90">
        <f t="shared" si="685"/>
        <v>0</v>
      </c>
      <c r="P2683" s="92" t="s">
        <v>1647</v>
      </c>
      <c r="Z2683" s="93">
        <f t="shared" si="686"/>
        <v>0</v>
      </c>
      <c r="AB2683" s="93">
        <f t="shared" si="687"/>
        <v>0</v>
      </c>
      <c r="AC2683" s="93">
        <f t="shared" si="688"/>
        <v>0</v>
      </c>
      <c r="AD2683" s="93">
        <f t="shared" si="689"/>
        <v>0</v>
      </c>
      <c r="AE2683" s="93">
        <f t="shared" si="690"/>
        <v>0</v>
      </c>
      <c r="AF2683" s="93">
        <f t="shared" si="691"/>
        <v>0</v>
      </c>
      <c r="AG2683" s="93">
        <f t="shared" si="692"/>
        <v>0</v>
      </c>
      <c r="AH2683" s="93">
        <f t="shared" si="693"/>
        <v>0</v>
      </c>
      <c r="AI2683" s="88" t="s">
        <v>55</v>
      </c>
      <c r="AJ2683" s="93">
        <f t="shared" si="694"/>
        <v>0</v>
      </c>
      <c r="AK2683" s="93">
        <f t="shared" si="695"/>
        <v>0</v>
      </c>
      <c r="AL2683" s="93">
        <f t="shared" si="696"/>
        <v>0</v>
      </c>
      <c r="AN2683" s="93">
        <v>21</v>
      </c>
      <c r="AO2683" s="93">
        <f t="shared" si="697"/>
        <v>0</v>
      </c>
      <c r="AP2683" s="93">
        <f t="shared" si="698"/>
        <v>0</v>
      </c>
      <c r="AQ2683" s="94" t="s">
        <v>118</v>
      </c>
      <c r="AV2683" s="93">
        <f t="shared" si="699"/>
        <v>0</v>
      </c>
      <c r="AW2683" s="93">
        <f t="shared" si="700"/>
        <v>0</v>
      </c>
      <c r="AX2683" s="93">
        <f t="shared" si="701"/>
        <v>0</v>
      </c>
      <c r="AY2683" s="94" t="s">
        <v>3494</v>
      </c>
      <c r="AZ2683" s="94" t="s">
        <v>3495</v>
      </c>
      <c r="BA2683" s="88" t="s">
        <v>67</v>
      </c>
      <c r="BC2683" s="93">
        <f t="shared" si="702"/>
        <v>0</v>
      </c>
      <c r="BD2683" s="93">
        <f t="shared" si="703"/>
        <v>0</v>
      </c>
      <c r="BE2683" s="93">
        <v>0</v>
      </c>
      <c r="BF2683" s="93">
        <f t="shared" si="704"/>
        <v>0</v>
      </c>
      <c r="BH2683" s="93">
        <f t="shared" si="705"/>
        <v>0</v>
      </c>
      <c r="BI2683" s="93">
        <f t="shared" si="706"/>
        <v>0</v>
      </c>
      <c r="BJ2683" s="93">
        <f t="shared" si="707"/>
        <v>0</v>
      </c>
      <c r="BK2683" s="93"/>
      <c r="BL2683" s="93"/>
      <c r="BW2683" s="93" t="str">
        <f t="shared" si="708"/>
        <v>21</v>
      </c>
      <c r="BX2683" s="2" t="s">
        <v>3921</v>
      </c>
    </row>
    <row r="2684" spans="1:76" s="81" customFormat="1" ht="25.5" x14ac:dyDescent="0.25">
      <c r="A2684" s="66" t="s">
        <v>3938</v>
      </c>
      <c r="B2684" s="72" t="s">
        <v>55</v>
      </c>
      <c r="C2684" s="72" t="s">
        <v>3923</v>
      </c>
      <c r="D2684" s="174" t="s">
        <v>3924</v>
      </c>
      <c r="E2684" s="174"/>
      <c r="F2684" s="72" t="s">
        <v>213</v>
      </c>
      <c r="G2684" s="90">
        <v>90</v>
      </c>
      <c r="H2684" s="91"/>
      <c r="I2684" s="92" t="s">
        <v>63</v>
      </c>
      <c r="J2684" s="90">
        <f t="shared" si="681"/>
        <v>0</v>
      </c>
      <c r="K2684" s="90">
        <f t="shared" si="682"/>
        <v>0</v>
      </c>
      <c r="L2684" s="90">
        <f t="shared" si="683"/>
        <v>0</v>
      </c>
      <c r="M2684" s="90">
        <f t="shared" si="684"/>
        <v>0</v>
      </c>
      <c r="N2684" s="90">
        <v>0</v>
      </c>
      <c r="O2684" s="90">
        <f t="shared" si="685"/>
        <v>0</v>
      </c>
      <c r="P2684" s="92" t="s">
        <v>1647</v>
      </c>
      <c r="Z2684" s="93">
        <f t="shared" si="686"/>
        <v>0</v>
      </c>
      <c r="AB2684" s="93">
        <f t="shared" si="687"/>
        <v>0</v>
      </c>
      <c r="AC2684" s="93">
        <f t="shared" si="688"/>
        <v>0</v>
      </c>
      <c r="AD2684" s="93">
        <f t="shared" si="689"/>
        <v>0</v>
      </c>
      <c r="AE2684" s="93">
        <f t="shared" si="690"/>
        <v>0</v>
      </c>
      <c r="AF2684" s="93">
        <f t="shared" si="691"/>
        <v>0</v>
      </c>
      <c r="AG2684" s="93">
        <f t="shared" si="692"/>
        <v>0</v>
      </c>
      <c r="AH2684" s="93">
        <f t="shared" si="693"/>
        <v>0</v>
      </c>
      <c r="AI2684" s="88" t="s">
        <v>55</v>
      </c>
      <c r="AJ2684" s="93">
        <f t="shared" si="694"/>
        <v>0</v>
      </c>
      <c r="AK2684" s="93">
        <f t="shared" si="695"/>
        <v>0</v>
      </c>
      <c r="AL2684" s="93">
        <f t="shared" si="696"/>
        <v>0</v>
      </c>
      <c r="AN2684" s="93">
        <v>21</v>
      </c>
      <c r="AO2684" s="93">
        <f t="shared" si="697"/>
        <v>0</v>
      </c>
      <c r="AP2684" s="93">
        <f t="shared" si="698"/>
        <v>0</v>
      </c>
      <c r="AQ2684" s="94" t="s">
        <v>118</v>
      </c>
      <c r="AV2684" s="93">
        <f t="shared" si="699"/>
        <v>0</v>
      </c>
      <c r="AW2684" s="93">
        <f t="shared" si="700"/>
        <v>0</v>
      </c>
      <c r="AX2684" s="93">
        <f t="shared" si="701"/>
        <v>0</v>
      </c>
      <c r="AY2684" s="94" t="s">
        <v>3494</v>
      </c>
      <c r="AZ2684" s="94" t="s">
        <v>3495</v>
      </c>
      <c r="BA2684" s="88" t="s">
        <v>67</v>
      </c>
      <c r="BC2684" s="93">
        <f t="shared" si="702"/>
        <v>0</v>
      </c>
      <c r="BD2684" s="93">
        <f t="shared" si="703"/>
        <v>0</v>
      </c>
      <c r="BE2684" s="93">
        <v>0</v>
      </c>
      <c r="BF2684" s="93">
        <f t="shared" si="704"/>
        <v>0</v>
      </c>
      <c r="BH2684" s="93">
        <f t="shared" si="705"/>
        <v>0</v>
      </c>
      <c r="BI2684" s="93">
        <f t="shared" si="706"/>
        <v>0</v>
      </c>
      <c r="BJ2684" s="93">
        <f t="shared" si="707"/>
        <v>0</v>
      </c>
      <c r="BK2684" s="93"/>
      <c r="BL2684" s="93"/>
      <c r="BW2684" s="93" t="str">
        <f t="shared" si="708"/>
        <v>21</v>
      </c>
      <c r="BX2684" s="2" t="s">
        <v>3924</v>
      </c>
    </row>
    <row r="2685" spans="1:76" s="81" customFormat="1" ht="25.5" x14ac:dyDescent="0.25">
      <c r="A2685" s="66" t="s">
        <v>3941</v>
      </c>
      <c r="B2685" s="72" t="s">
        <v>55</v>
      </c>
      <c r="C2685" s="72" t="s">
        <v>3926</v>
      </c>
      <c r="D2685" s="174" t="s">
        <v>3927</v>
      </c>
      <c r="E2685" s="174"/>
      <c r="F2685" s="72" t="s">
        <v>213</v>
      </c>
      <c r="G2685" s="90">
        <v>90</v>
      </c>
      <c r="H2685" s="91"/>
      <c r="I2685" s="92" t="s">
        <v>63</v>
      </c>
      <c r="J2685" s="90">
        <f t="shared" si="681"/>
        <v>0</v>
      </c>
      <c r="K2685" s="90">
        <f t="shared" si="682"/>
        <v>0</v>
      </c>
      <c r="L2685" s="90">
        <f t="shared" si="683"/>
        <v>0</v>
      </c>
      <c r="M2685" s="90">
        <f t="shared" si="684"/>
        <v>0</v>
      </c>
      <c r="N2685" s="90">
        <v>0</v>
      </c>
      <c r="O2685" s="90">
        <f t="shared" si="685"/>
        <v>0</v>
      </c>
      <c r="P2685" s="92" t="s">
        <v>1647</v>
      </c>
      <c r="Z2685" s="93">
        <f t="shared" si="686"/>
        <v>0</v>
      </c>
      <c r="AB2685" s="93">
        <f t="shared" si="687"/>
        <v>0</v>
      </c>
      <c r="AC2685" s="93">
        <f t="shared" si="688"/>
        <v>0</v>
      </c>
      <c r="AD2685" s="93">
        <f t="shared" si="689"/>
        <v>0</v>
      </c>
      <c r="AE2685" s="93">
        <f t="shared" si="690"/>
        <v>0</v>
      </c>
      <c r="AF2685" s="93">
        <f t="shared" si="691"/>
        <v>0</v>
      </c>
      <c r="AG2685" s="93">
        <f t="shared" si="692"/>
        <v>0</v>
      </c>
      <c r="AH2685" s="93">
        <f t="shared" si="693"/>
        <v>0</v>
      </c>
      <c r="AI2685" s="88" t="s">
        <v>55</v>
      </c>
      <c r="AJ2685" s="93">
        <f t="shared" si="694"/>
        <v>0</v>
      </c>
      <c r="AK2685" s="93">
        <f t="shared" si="695"/>
        <v>0</v>
      </c>
      <c r="AL2685" s="93">
        <f t="shared" si="696"/>
        <v>0</v>
      </c>
      <c r="AN2685" s="93">
        <v>21</v>
      </c>
      <c r="AO2685" s="93">
        <f t="shared" si="697"/>
        <v>0</v>
      </c>
      <c r="AP2685" s="93">
        <f t="shared" si="698"/>
        <v>0</v>
      </c>
      <c r="AQ2685" s="94" t="s">
        <v>118</v>
      </c>
      <c r="AV2685" s="93">
        <f t="shared" si="699"/>
        <v>0</v>
      </c>
      <c r="AW2685" s="93">
        <f t="shared" si="700"/>
        <v>0</v>
      </c>
      <c r="AX2685" s="93">
        <f t="shared" si="701"/>
        <v>0</v>
      </c>
      <c r="AY2685" s="94" t="s">
        <v>3494</v>
      </c>
      <c r="AZ2685" s="94" t="s">
        <v>3495</v>
      </c>
      <c r="BA2685" s="88" t="s">
        <v>67</v>
      </c>
      <c r="BC2685" s="93">
        <f t="shared" si="702"/>
        <v>0</v>
      </c>
      <c r="BD2685" s="93">
        <f t="shared" si="703"/>
        <v>0</v>
      </c>
      <c r="BE2685" s="93">
        <v>0</v>
      </c>
      <c r="BF2685" s="93">
        <f t="shared" si="704"/>
        <v>0</v>
      </c>
      <c r="BH2685" s="93">
        <f t="shared" si="705"/>
        <v>0</v>
      </c>
      <c r="BI2685" s="93">
        <f t="shared" si="706"/>
        <v>0</v>
      </c>
      <c r="BJ2685" s="93">
        <f t="shared" si="707"/>
        <v>0</v>
      </c>
      <c r="BK2685" s="93"/>
      <c r="BL2685" s="93"/>
      <c r="BW2685" s="93" t="str">
        <f t="shared" si="708"/>
        <v>21</v>
      </c>
      <c r="BX2685" s="2" t="s">
        <v>3927</v>
      </c>
    </row>
    <row r="2686" spans="1:76" s="81" customFormat="1" ht="25.5" x14ac:dyDescent="0.25">
      <c r="A2686" s="66" t="s">
        <v>3944</v>
      </c>
      <c r="B2686" s="72" t="s">
        <v>55</v>
      </c>
      <c r="C2686" s="72" t="s">
        <v>3929</v>
      </c>
      <c r="D2686" s="174" t="s">
        <v>3909</v>
      </c>
      <c r="E2686" s="174"/>
      <c r="F2686" s="72" t="s">
        <v>213</v>
      </c>
      <c r="G2686" s="90">
        <v>240</v>
      </c>
      <c r="H2686" s="91"/>
      <c r="I2686" s="92" t="s">
        <v>63</v>
      </c>
      <c r="J2686" s="90">
        <f t="shared" si="681"/>
        <v>0</v>
      </c>
      <c r="K2686" s="90">
        <f t="shared" si="682"/>
        <v>0</v>
      </c>
      <c r="L2686" s="90">
        <f t="shared" si="683"/>
        <v>0</v>
      </c>
      <c r="M2686" s="90">
        <f t="shared" si="684"/>
        <v>0</v>
      </c>
      <c r="N2686" s="90">
        <v>0</v>
      </c>
      <c r="O2686" s="90">
        <f t="shared" si="685"/>
        <v>0</v>
      </c>
      <c r="P2686" s="92" t="s">
        <v>1647</v>
      </c>
      <c r="Z2686" s="93">
        <f t="shared" si="686"/>
        <v>0</v>
      </c>
      <c r="AB2686" s="93">
        <f t="shared" si="687"/>
        <v>0</v>
      </c>
      <c r="AC2686" s="93">
        <f t="shared" si="688"/>
        <v>0</v>
      </c>
      <c r="AD2686" s="93">
        <f t="shared" si="689"/>
        <v>0</v>
      </c>
      <c r="AE2686" s="93">
        <f t="shared" si="690"/>
        <v>0</v>
      </c>
      <c r="AF2686" s="93">
        <f t="shared" si="691"/>
        <v>0</v>
      </c>
      <c r="AG2686" s="93">
        <f t="shared" si="692"/>
        <v>0</v>
      </c>
      <c r="AH2686" s="93">
        <f t="shared" si="693"/>
        <v>0</v>
      </c>
      <c r="AI2686" s="88" t="s">
        <v>55</v>
      </c>
      <c r="AJ2686" s="93">
        <f t="shared" si="694"/>
        <v>0</v>
      </c>
      <c r="AK2686" s="93">
        <f t="shared" si="695"/>
        <v>0</v>
      </c>
      <c r="AL2686" s="93">
        <f t="shared" si="696"/>
        <v>0</v>
      </c>
      <c r="AN2686" s="93">
        <v>21</v>
      </c>
      <c r="AO2686" s="93">
        <f t="shared" si="697"/>
        <v>0</v>
      </c>
      <c r="AP2686" s="93">
        <f t="shared" si="698"/>
        <v>0</v>
      </c>
      <c r="AQ2686" s="94" t="s">
        <v>118</v>
      </c>
      <c r="AV2686" s="93">
        <f t="shared" si="699"/>
        <v>0</v>
      </c>
      <c r="AW2686" s="93">
        <f t="shared" si="700"/>
        <v>0</v>
      </c>
      <c r="AX2686" s="93">
        <f t="shared" si="701"/>
        <v>0</v>
      </c>
      <c r="AY2686" s="94" t="s">
        <v>3494</v>
      </c>
      <c r="AZ2686" s="94" t="s">
        <v>3495</v>
      </c>
      <c r="BA2686" s="88" t="s">
        <v>67</v>
      </c>
      <c r="BC2686" s="93">
        <f t="shared" si="702"/>
        <v>0</v>
      </c>
      <c r="BD2686" s="93">
        <f t="shared" si="703"/>
        <v>0</v>
      </c>
      <c r="BE2686" s="93">
        <v>0</v>
      </c>
      <c r="BF2686" s="93">
        <f t="shared" si="704"/>
        <v>0</v>
      </c>
      <c r="BH2686" s="93">
        <f t="shared" si="705"/>
        <v>0</v>
      </c>
      <c r="BI2686" s="93">
        <f t="shared" si="706"/>
        <v>0</v>
      </c>
      <c r="BJ2686" s="93">
        <f t="shared" si="707"/>
        <v>0</v>
      </c>
      <c r="BK2686" s="93"/>
      <c r="BL2686" s="93"/>
      <c r="BW2686" s="93" t="str">
        <f t="shared" si="708"/>
        <v>21</v>
      </c>
      <c r="BX2686" s="2" t="s">
        <v>3909</v>
      </c>
    </row>
    <row r="2687" spans="1:76" s="81" customFormat="1" ht="25.5" x14ac:dyDescent="0.25">
      <c r="A2687" s="66" t="s">
        <v>3947</v>
      </c>
      <c r="B2687" s="72" t="s">
        <v>55</v>
      </c>
      <c r="C2687" s="72" t="s">
        <v>3931</v>
      </c>
      <c r="D2687" s="174" t="s">
        <v>3912</v>
      </c>
      <c r="E2687" s="174"/>
      <c r="F2687" s="72" t="s">
        <v>213</v>
      </c>
      <c r="G2687" s="90">
        <v>91</v>
      </c>
      <c r="H2687" s="91"/>
      <c r="I2687" s="92" t="s">
        <v>63</v>
      </c>
      <c r="J2687" s="90">
        <f t="shared" si="681"/>
        <v>0</v>
      </c>
      <c r="K2687" s="90">
        <f t="shared" si="682"/>
        <v>0</v>
      </c>
      <c r="L2687" s="90">
        <f t="shared" si="683"/>
        <v>0</v>
      </c>
      <c r="M2687" s="90">
        <f t="shared" si="684"/>
        <v>0</v>
      </c>
      <c r="N2687" s="90">
        <v>0</v>
      </c>
      <c r="O2687" s="90">
        <f t="shared" si="685"/>
        <v>0</v>
      </c>
      <c r="P2687" s="92" t="s">
        <v>1647</v>
      </c>
      <c r="Z2687" s="93">
        <f t="shared" si="686"/>
        <v>0</v>
      </c>
      <c r="AB2687" s="93">
        <f t="shared" si="687"/>
        <v>0</v>
      </c>
      <c r="AC2687" s="93">
        <f t="shared" si="688"/>
        <v>0</v>
      </c>
      <c r="AD2687" s="93">
        <f t="shared" si="689"/>
        <v>0</v>
      </c>
      <c r="AE2687" s="93">
        <f t="shared" si="690"/>
        <v>0</v>
      </c>
      <c r="AF2687" s="93">
        <f t="shared" si="691"/>
        <v>0</v>
      </c>
      <c r="AG2687" s="93">
        <f t="shared" si="692"/>
        <v>0</v>
      </c>
      <c r="AH2687" s="93">
        <f t="shared" si="693"/>
        <v>0</v>
      </c>
      <c r="AI2687" s="88" t="s">
        <v>55</v>
      </c>
      <c r="AJ2687" s="93">
        <f t="shared" si="694"/>
        <v>0</v>
      </c>
      <c r="AK2687" s="93">
        <f t="shared" si="695"/>
        <v>0</v>
      </c>
      <c r="AL2687" s="93">
        <f t="shared" si="696"/>
        <v>0</v>
      </c>
      <c r="AN2687" s="93">
        <v>21</v>
      </c>
      <c r="AO2687" s="93">
        <f t="shared" si="697"/>
        <v>0</v>
      </c>
      <c r="AP2687" s="93">
        <f t="shared" si="698"/>
        <v>0</v>
      </c>
      <c r="AQ2687" s="94" t="s">
        <v>118</v>
      </c>
      <c r="AV2687" s="93">
        <f t="shared" si="699"/>
        <v>0</v>
      </c>
      <c r="AW2687" s="93">
        <f t="shared" si="700"/>
        <v>0</v>
      </c>
      <c r="AX2687" s="93">
        <f t="shared" si="701"/>
        <v>0</v>
      </c>
      <c r="AY2687" s="94" t="s">
        <v>3494</v>
      </c>
      <c r="AZ2687" s="94" t="s">
        <v>3495</v>
      </c>
      <c r="BA2687" s="88" t="s">
        <v>67</v>
      </c>
      <c r="BC2687" s="93">
        <f t="shared" si="702"/>
        <v>0</v>
      </c>
      <c r="BD2687" s="93">
        <f t="shared" si="703"/>
        <v>0</v>
      </c>
      <c r="BE2687" s="93">
        <v>0</v>
      </c>
      <c r="BF2687" s="93">
        <f t="shared" si="704"/>
        <v>0</v>
      </c>
      <c r="BH2687" s="93">
        <f t="shared" si="705"/>
        <v>0</v>
      </c>
      <c r="BI2687" s="93">
        <f t="shared" si="706"/>
        <v>0</v>
      </c>
      <c r="BJ2687" s="93">
        <f t="shared" si="707"/>
        <v>0</v>
      </c>
      <c r="BK2687" s="93"/>
      <c r="BL2687" s="93"/>
      <c r="BW2687" s="93" t="str">
        <f t="shared" si="708"/>
        <v>21</v>
      </c>
      <c r="BX2687" s="2" t="s">
        <v>3912</v>
      </c>
    </row>
    <row r="2688" spans="1:76" s="81" customFormat="1" ht="25.5" x14ac:dyDescent="0.25">
      <c r="A2688" s="66" t="s">
        <v>3950</v>
      </c>
      <c r="B2688" s="72" t="s">
        <v>55</v>
      </c>
      <c r="C2688" s="72" t="s">
        <v>3933</v>
      </c>
      <c r="D2688" s="174" t="s">
        <v>3934</v>
      </c>
      <c r="E2688" s="174"/>
      <c r="F2688" s="72" t="s">
        <v>62</v>
      </c>
      <c r="G2688" s="90">
        <v>85</v>
      </c>
      <c r="H2688" s="91"/>
      <c r="I2688" s="92" t="s">
        <v>63</v>
      </c>
      <c r="J2688" s="90">
        <f t="shared" si="681"/>
        <v>0</v>
      </c>
      <c r="K2688" s="90">
        <f t="shared" si="682"/>
        <v>0</v>
      </c>
      <c r="L2688" s="90">
        <f t="shared" si="683"/>
        <v>0</v>
      </c>
      <c r="M2688" s="90">
        <f t="shared" si="684"/>
        <v>0</v>
      </c>
      <c r="N2688" s="90">
        <v>0</v>
      </c>
      <c r="O2688" s="90">
        <f t="shared" si="685"/>
        <v>0</v>
      </c>
      <c r="P2688" s="92" t="s">
        <v>1647</v>
      </c>
      <c r="Z2688" s="93">
        <f t="shared" si="686"/>
        <v>0</v>
      </c>
      <c r="AB2688" s="93">
        <f t="shared" si="687"/>
        <v>0</v>
      </c>
      <c r="AC2688" s="93">
        <f t="shared" si="688"/>
        <v>0</v>
      </c>
      <c r="AD2688" s="93">
        <f t="shared" si="689"/>
        <v>0</v>
      </c>
      <c r="AE2688" s="93">
        <f t="shared" si="690"/>
        <v>0</v>
      </c>
      <c r="AF2688" s="93">
        <f t="shared" si="691"/>
        <v>0</v>
      </c>
      <c r="AG2688" s="93">
        <f t="shared" si="692"/>
        <v>0</v>
      </c>
      <c r="AH2688" s="93">
        <f t="shared" si="693"/>
        <v>0</v>
      </c>
      <c r="AI2688" s="88" t="s">
        <v>55</v>
      </c>
      <c r="AJ2688" s="93">
        <f t="shared" si="694"/>
        <v>0</v>
      </c>
      <c r="AK2688" s="93">
        <f t="shared" si="695"/>
        <v>0</v>
      </c>
      <c r="AL2688" s="93">
        <f t="shared" si="696"/>
        <v>0</v>
      </c>
      <c r="AN2688" s="93">
        <v>21</v>
      </c>
      <c r="AO2688" s="93">
        <f t="shared" si="697"/>
        <v>0</v>
      </c>
      <c r="AP2688" s="93">
        <f t="shared" si="698"/>
        <v>0</v>
      </c>
      <c r="AQ2688" s="94" t="s">
        <v>118</v>
      </c>
      <c r="AV2688" s="93">
        <f t="shared" si="699"/>
        <v>0</v>
      </c>
      <c r="AW2688" s="93">
        <f t="shared" si="700"/>
        <v>0</v>
      </c>
      <c r="AX2688" s="93">
        <f t="shared" si="701"/>
        <v>0</v>
      </c>
      <c r="AY2688" s="94" t="s">
        <v>3494</v>
      </c>
      <c r="AZ2688" s="94" t="s">
        <v>3495</v>
      </c>
      <c r="BA2688" s="88" t="s">
        <v>67</v>
      </c>
      <c r="BC2688" s="93">
        <f t="shared" si="702"/>
        <v>0</v>
      </c>
      <c r="BD2688" s="93">
        <f t="shared" si="703"/>
        <v>0</v>
      </c>
      <c r="BE2688" s="93">
        <v>0</v>
      </c>
      <c r="BF2688" s="93">
        <f t="shared" si="704"/>
        <v>0</v>
      </c>
      <c r="BH2688" s="93">
        <f t="shared" si="705"/>
        <v>0</v>
      </c>
      <c r="BI2688" s="93">
        <f t="shared" si="706"/>
        <v>0</v>
      </c>
      <c r="BJ2688" s="93">
        <f t="shared" si="707"/>
        <v>0</v>
      </c>
      <c r="BK2688" s="93"/>
      <c r="BL2688" s="93"/>
      <c r="BW2688" s="93" t="str">
        <f t="shared" si="708"/>
        <v>21</v>
      </c>
      <c r="BX2688" s="2" t="s">
        <v>3934</v>
      </c>
    </row>
    <row r="2689" spans="1:76" s="81" customFormat="1" ht="25.5" x14ac:dyDescent="0.25">
      <c r="A2689" s="66" t="s">
        <v>3953</v>
      </c>
      <c r="B2689" s="72" t="s">
        <v>55</v>
      </c>
      <c r="C2689" s="72" t="s">
        <v>3936</v>
      </c>
      <c r="D2689" s="174" t="s">
        <v>3937</v>
      </c>
      <c r="E2689" s="174"/>
      <c r="F2689" s="72" t="s">
        <v>62</v>
      </c>
      <c r="G2689" s="90">
        <v>85</v>
      </c>
      <c r="H2689" s="91"/>
      <c r="I2689" s="92" t="s">
        <v>63</v>
      </c>
      <c r="J2689" s="90">
        <f t="shared" si="681"/>
        <v>0</v>
      </c>
      <c r="K2689" s="90">
        <f t="shared" si="682"/>
        <v>0</v>
      </c>
      <c r="L2689" s="90">
        <f t="shared" si="683"/>
        <v>0</v>
      </c>
      <c r="M2689" s="90">
        <f t="shared" si="684"/>
        <v>0</v>
      </c>
      <c r="N2689" s="90">
        <v>0</v>
      </c>
      <c r="O2689" s="90">
        <f t="shared" si="685"/>
        <v>0</v>
      </c>
      <c r="P2689" s="92" t="s">
        <v>1647</v>
      </c>
      <c r="Z2689" s="93">
        <f t="shared" si="686"/>
        <v>0</v>
      </c>
      <c r="AB2689" s="93">
        <f t="shared" si="687"/>
        <v>0</v>
      </c>
      <c r="AC2689" s="93">
        <f t="shared" si="688"/>
        <v>0</v>
      </c>
      <c r="AD2689" s="93">
        <f t="shared" si="689"/>
        <v>0</v>
      </c>
      <c r="AE2689" s="93">
        <f t="shared" si="690"/>
        <v>0</v>
      </c>
      <c r="AF2689" s="93">
        <f t="shared" si="691"/>
        <v>0</v>
      </c>
      <c r="AG2689" s="93">
        <f t="shared" si="692"/>
        <v>0</v>
      </c>
      <c r="AH2689" s="93">
        <f t="shared" si="693"/>
        <v>0</v>
      </c>
      <c r="AI2689" s="88" t="s">
        <v>55</v>
      </c>
      <c r="AJ2689" s="93">
        <f t="shared" si="694"/>
        <v>0</v>
      </c>
      <c r="AK2689" s="93">
        <f t="shared" si="695"/>
        <v>0</v>
      </c>
      <c r="AL2689" s="93">
        <f t="shared" si="696"/>
        <v>0</v>
      </c>
      <c r="AN2689" s="93">
        <v>21</v>
      </c>
      <c r="AO2689" s="93">
        <f t="shared" si="697"/>
        <v>0</v>
      </c>
      <c r="AP2689" s="93">
        <f t="shared" si="698"/>
        <v>0</v>
      </c>
      <c r="AQ2689" s="94" t="s">
        <v>118</v>
      </c>
      <c r="AV2689" s="93">
        <f t="shared" si="699"/>
        <v>0</v>
      </c>
      <c r="AW2689" s="93">
        <f t="shared" si="700"/>
        <v>0</v>
      </c>
      <c r="AX2689" s="93">
        <f t="shared" si="701"/>
        <v>0</v>
      </c>
      <c r="AY2689" s="94" t="s">
        <v>3494</v>
      </c>
      <c r="AZ2689" s="94" t="s">
        <v>3495</v>
      </c>
      <c r="BA2689" s="88" t="s">
        <v>67</v>
      </c>
      <c r="BC2689" s="93">
        <f t="shared" si="702"/>
        <v>0</v>
      </c>
      <c r="BD2689" s="93">
        <f t="shared" si="703"/>
        <v>0</v>
      </c>
      <c r="BE2689" s="93">
        <v>0</v>
      </c>
      <c r="BF2689" s="93">
        <f t="shared" si="704"/>
        <v>0</v>
      </c>
      <c r="BH2689" s="93">
        <f t="shared" si="705"/>
        <v>0</v>
      </c>
      <c r="BI2689" s="93">
        <f t="shared" si="706"/>
        <v>0</v>
      </c>
      <c r="BJ2689" s="93">
        <f t="shared" si="707"/>
        <v>0</v>
      </c>
      <c r="BK2689" s="93"/>
      <c r="BL2689" s="93"/>
      <c r="BW2689" s="93" t="str">
        <f t="shared" si="708"/>
        <v>21</v>
      </c>
      <c r="BX2689" s="2" t="s">
        <v>3937</v>
      </c>
    </row>
    <row r="2690" spans="1:76" s="81" customFormat="1" ht="25.5" x14ac:dyDescent="0.25">
      <c r="A2690" s="66" t="s">
        <v>3956</v>
      </c>
      <c r="B2690" s="72" t="s">
        <v>55</v>
      </c>
      <c r="C2690" s="72" t="s">
        <v>3939</v>
      </c>
      <c r="D2690" s="174" t="s">
        <v>3940</v>
      </c>
      <c r="E2690" s="174"/>
      <c r="F2690" s="72" t="s">
        <v>192</v>
      </c>
      <c r="G2690" s="90">
        <v>160</v>
      </c>
      <c r="H2690" s="91"/>
      <c r="I2690" s="92" t="s">
        <v>63</v>
      </c>
      <c r="J2690" s="90">
        <f t="shared" si="681"/>
        <v>0</v>
      </c>
      <c r="K2690" s="90">
        <f t="shared" si="682"/>
        <v>0</v>
      </c>
      <c r="L2690" s="90">
        <f t="shared" si="683"/>
        <v>0</v>
      </c>
      <c r="M2690" s="90">
        <f t="shared" si="684"/>
        <v>0</v>
      </c>
      <c r="N2690" s="90">
        <v>0</v>
      </c>
      <c r="O2690" s="90">
        <f t="shared" si="685"/>
        <v>0</v>
      </c>
      <c r="P2690" s="92" t="s">
        <v>1647</v>
      </c>
      <c r="Z2690" s="93">
        <f t="shared" si="686"/>
        <v>0</v>
      </c>
      <c r="AB2690" s="93">
        <f t="shared" si="687"/>
        <v>0</v>
      </c>
      <c r="AC2690" s="93">
        <f t="shared" si="688"/>
        <v>0</v>
      </c>
      <c r="AD2690" s="93">
        <f t="shared" si="689"/>
        <v>0</v>
      </c>
      <c r="AE2690" s="93">
        <f t="shared" si="690"/>
        <v>0</v>
      </c>
      <c r="AF2690" s="93">
        <f t="shared" si="691"/>
        <v>0</v>
      </c>
      <c r="AG2690" s="93">
        <f t="shared" si="692"/>
        <v>0</v>
      </c>
      <c r="AH2690" s="93">
        <f t="shared" si="693"/>
        <v>0</v>
      </c>
      <c r="AI2690" s="88" t="s">
        <v>55</v>
      </c>
      <c r="AJ2690" s="93">
        <f t="shared" si="694"/>
        <v>0</v>
      </c>
      <c r="AK2690" s="93">
        <f t="shared" si="695"/>
        <v>0</v>
      </c>
      <c r="AL2690" s="93">
        <f t="shared" si="696"/>
        <v>0</v>
      </c>
      <c r="AN2690" s="93">
        <v>21</v>
      </c>
      <c r="AO2690" s="93">
        <f t="shared" si="697"/>
        <v>0</v>
      </c>
      <c r="AP2690" s="93">
        <f t="shared" si="698"/>
        <v>0</v>
      </c>
      <c r="AQ2690" s="94" t="s">
        <v>118</v>
      </c>
      <c r="AV2690" s="93">
        <f t="shared" si="699"/>
        <v>0</v>
      </c>
      <c r="AW2690" s="93">
        <f t="shared" si="700"/>
        <v>0</v>
      </c>
      <c r="AX2690" s="93">
        <f t="shared" si="701"/>
        <v>0</v>
      </c>
      <c r="AY2690" s="94" t="s">
        <v>3494</v>
      </c>
      <c r="AZ2690" s="94" t="s">
        <v>3495</v>
      </c>
      <c r="BA2690" s="88" t="s">
        <v>67</v>
      </c>
      <c r="BC2690" s="93">
        <f t="shared" si="702"/>
        <v>0</v>
      </c>
      <c r="BD2690" s="93">
        <f t="shared" si="703"/>
        <v>0</v>
      </c>
      <c r="BE2690" s="93">
        <v>0</v>
      </c>
      <c r="BF2690" s="93">
        <f t="shared" si="704"/>
        <v>0</v>
      </c>
      <c r="BH2690" s="93">
        <f t="shared" si="705"/>
        <v>0</v>
      </c>
      <c r="BI2690" s="93">
        <f t="shared" si="706"/>
        <v>0</v>
      </c>
      <c r="BJ2690" s="93">
        <f t="shared" si="707"/>
        <v>0</v>
      </c>
      <c r="BK2690" s="93"/>
      <c r="BL2690" s="93"/>
      <c r="BW2690" s="93" t="str">
        <f t="shared" si="708"/>
        <v>21</v>
      </c>
      <c r="BX2690" s="2" t="s">
        <v>3940</v>
      </c>
    </row>
    <row r="2691" spans="1:76" s="81" customFormat="1" ht="25.5" x14ac:dyDescent="0.25">
      <c r="A2691" s="66" t="s">
        <v>3959</v>
      </c>
      <c r="B2691" s="72" t="s">
        <v>55</v>
      </c>
      <c r="C2691" s="72" t="s">
        <v>3942</v>
      </c>
      <c r="D2691" s="174" t="s">
        <v>3943</v>
      </c>
      <c r="E2691" s="174"/>
      <c r="F2691" s="72" t="s">
        <v>213</v>
      </c>
      <c r="G2691" s="90">
        <v>25</v>
      </c>
      <c r="H2691" s="91"/>
      <c r="I2691" s="92" t="s">
        <v>63</v>
      </c>
      <c r="J2691" s="90">
        <f t="shared" si="681"/>
        <v>0</v>
      </c>
      <c r="K2691" s="90">
        <f t="shared" si="682"/>
        <v>0</v>
      </c>
      <c r="L2691" s="90">
        <f t="shared" si="683"/>
        <v>0</v>
      </c>
      <c r="M2691" s="90">
        <f t="shared" si="684"/>
        <v>0</v>
      </c>
      <c r="N2691" s="90">
        <v>0</v>
      </c>
      <c r="O2691" s="90">
        <f t="shared" si="685"/>
        <v>0</v>
      </c>
      <c r="P2691" s="92" t="s">
        <v>1647</v>
      </c>
      <c r="Z2691" s="93">
        <f t="shared" si="686"/>
        <v>0</v>
      </c>
      <c r="AB2691" s="93">
        <f t="shared" si="687"/>
        <v>0</v>
      </c>
      <c r="AC2691" s="93">
        <f t="shared" si="688"/>
        <v>0</v>
      </c>
      <c r="AD2691" s="93">
        <f t="shared" si="689"/>
        <v>0</v>
      </c>
      <c r="AE2691" s="93">
        <f t="shared" si="690"/>
        <v>0</v>
      </c>
      <c r="AF2691" s="93">
        <f t="shared" si="691"/>
        <v>0</v>
      </c>
      <c r="AG2691" s="93">
        <f t="shared" si="692"/>
        <v>0</v>
      </c>
      <c r="AH2691" s="93">
        <f t="shared" si="693"/>
        <v>0</v>
      </c>
      <c r="AI2691" s="88" t="s">
        <v>55</v>
      </c>
      <c r="AJ2691" s="93">
        <f t="shared" si="694"/>
        <v>0</v>
      </c>
      <c r="AK2691" s="93">
        <f t="shared" si="695"/>
        <v>0</v>
      </c>
      <c r="AL2691" s="93">
        <f t="shared" si="696"/>
        <v>0</v>
      </c>
      <c r="AN2691" s="93">
        <v>21</v>
      </c>
      <c r="AO2691" s="93">
        <f t="shared" si="697"/>
        <v>0</v>
      </c>
      <c r="AP2691" s="93">
        <f t="shared" si="698"/>
        <v>0</v>
      </c>
      <c r="AQ2691" s="94" t="s">
        <v>118</v>
      </c>
      <c r="AV2691" s="93">
        <f t="shared" si="699"/>
        <v>0</v>
      </c>
      <c r="AW2691" s="93">
        <f t="shared" si="700"/>
        <v>0</v>
      </c>
      <c r="AX2691" s="93">
        <f t="shared" si="701"/>
        <v>0</v>
      </c>
      <c r="AY2691" s="94" t="s">
        <v>3494</v>
      </c>
      <c r="AZ2691" s="94" t="s">
        <v>3495</v>
      </c>
      <c r="BA2691" s="88" t="s">
        <v>67</v>
      </c>
      <c r="BC2691" s="93">
        <f t="shared" si="702"/>
        <v>0</v>
      </c>
      <c r="BD2691" s="93">
        <f t="shared" si="703"/>
        <v>0</v>
      </c>
      <c r="BE2691" s="93">
        <v>0</v>
      </c>
      <c r="BF2691" s="93">
        <f t="shared" si="704"/>
        <v>0</v>
      </c>
      <c r="BH2691" s="93">
        <f t="shared" si="705"/>
        <v>0</v>
      </c>
      <c r="BI2691" s="93">
        <f t="shared" si="706"/>
        <v>0</v>
      </c>
      <c r="BJ2691" s="93">
        <f t="shared" si="707"/>
        <v>0</v>
      </c>
      <c r="BK2691" s="93"/>
      <c r="BL2691" s="93"/>
      <c r="BW2691" s="93" t="str">
        <f t="shared" si="708"/>
        <v>21</v>
      </c>
      <c r="BX2691" s="2" t="s">
        <v>3943</v>
      </c>
    </row>
    <row r="2692" spans="1:76" s="81" customFormat="1" ht="25.5" x14ac:dyDescent="0.25">
      <c r="A2692" s="66" t="s">
        <v>3962</v>
      </c>
      <c r="B2692" s="72" t="s">
        <v>55</v>
      </c>
      <c r="C2692" s="72" t="s">
        <v>3945</v>
      </c>
      <c r="D2692" s="174" t="s">
        <v>3946</v>
      </c>
      <c r="E2692" s="174"/>
      <c r="F2692" s="72" t="s">
        <v>213</v>
      </c>
      <c r="G2692" s="90">
        <v>120</v>
      </c>
      <c r="H2692" s="91"/>
      <c r="I2692" s="92" t="s">
        <v>63</v>
      </c>
      <c r="J2692" s="90">
        <f t="shared" si="681"/>
        <v>0</v>
      </c>
      <c r="K2692" s="90">
        <f t="shared" si="682"/>
        <v>0</v>
      </c>
      <c r="L2692" s="90">
        <f t="shared" si="683"/>
        <v>0</v>
      </c>
      <c r="M2692" s="90">
        <f t="shared" si="684"/>
        <v>0</v>
      </c>
      <c r="N2692" s="90">
        <v>0</v>
      </c>
      <c r="O2692" s="90">
        <f t="shared" si="685"/>
        <v>0</v>
      </c>
      <c r="P2692" s="92" t="s">
        <v>1647</v>
      </c>
      <c r="Z2692" s="93">
        <f t="shared" si="686"/>
        <v>0</v>
      </c>
      <c r="AB2692" s="93">
        <f t="shared" si="687"/>
        <v>0</v>
      </c>
      <c r="AC2692" s="93">
        <f t="shared" si="688"/>
        <v>0</v>
      </c>
      <c r="AD2692" s="93">
        <f t="shared" si="689"/>
        <v>0</v>
      </c>
      <c r="AE2692" s="93">
        <f t="shared" si="690"/>
        <v>0</v>
      </c>
      <c r="AF2692" s="93">
        <f t="shared" si="691"/>
        <v>0</v>
      </c>
      <c r="AG2692" s="93">
        <f t="shared" si="692"/>
        <v>0</v>
      </c>
      <c r="AH2692" s="93">
        <f t="shared" si="693"/>
        <v>0</v>
      </c>
      <c r="AI2692" s="88" t="s">
        <v>55</v>
      </c>
      <c r="AJ2692" s="93">
        <f t="shared" si="694"/>
        <v>0</v>
      </c>
      <c r="AK2692" s="93">
        <f t="shared" si="695"/>
        <v>0</v>
      </c>
      <c r="AL2692" s="93">
        <f t="shared" si="696"/>
        <v>0</v>
      </c>
      <c r="AN2692" s="93">
        <v>21</v>
      </c>
      <c r="AO2692" s="93">
        <f t="shared" si="697"/>
        <v>0</v>
      </c>
      <c r="AP2692" s="93">
        <f t="shared" si="698"/>
        <v>0</v>
      </c>
      <c r="AQ2692" s="94" t="s">
        <v>118</v>
      </c>
      <c r="AV2692" s="93">
        <f t="shared" si="699"/>
        <v>0</v>
      </c>
      <c r="AW2692" s="93">
        <f t="shared" si="700"/>
        <v>0</v>
      </c>
      <c r="AX2692" s="93">
        <f t="shared" si="701"/>
        <v>0</v>
      </c>
      <c r="AY2692" s="94" t="s">
        <v>3494</v>
      </c>
      <c r="AZ2692" s="94" t="s">
        <v>3495</v>
      </c>
      <c r="BA2692" s="88" t="s">
        <v>67</v>
      </c>
      <c r="BC2692" s="93">
        <f t="shared" si="702"/>
        <v>0</v>
      </c>
      <c r="BD2692" s="93">
        <f t="shared" si="703"/>
        <v>0</v>
      </c>
      <c r="BE2692" s="93">
        <v>0</v>
      </c>
      <c r="BF2692" s="93">
        <f t="shared" si="704"/>
        <v>0</v>
      </c>
      <c r="BH2692" s="93">
        <f t="shared" si="705"/>
        <v>0</v>
      </c>
      <c r="BI2692" s="93">
        <f t="shared" si="706"/>
        <v>0</v>
      </c>
      <c r="BJ2692" s="93">
        <f t="shared" si="707"/>
        <v>0</v>
      </c>
      <c r="BK2692" s="93"/>
      <c r="BL2692" s="93"/>
      <c r="BW2692" s="93" t="str">
        <f t="shared" si="708"/>
        <v>21</v>
      </c>
      <c r="BX2692" s="2" t="s">
        <v>3946</v>
      </c>
    </row>
    <row r="2693" spans="1:76" s="81" customFormat="1" ht="25.5" x14ac:dyDescent="0.25">
      <c r="A2693" s="66" t="s">
        <v>3965</v>
      </c>
      <c r="B2693" s="72" t="s">
        <v>55</v>
      </c>
      <c r="C2693" s="72" t="s">
        <v>3948</v>
      </c>
      <c r="D2693" s="174" t="s">
        <v>3949</v>
      </c>
      <c r="E2693" s="174"/>
      <c r="F2693" s="72" t="s">
        <v>213</v>
      </c>
      <c r="G2693" s="90">
        <v>28</v>
      </c>
      <c r="H2693" s="91"/>
      <c r="I2693" s="92" t="s">
        <v>63</v>
      </c>
      <c r="J2693" s="90">
        <f t="shared" si="681"/>
        <v>0</v>
      </c>
      <c r="K2693" s="90">
        <f t="shared" si="682"/>
        <v>0</v>
      </c>
      <c r="L2693" s="90">
        <f t="shared" si="683"/>
        <v>0</v>
      </c>
      <c r="M2693" s="90">
        <f t="shared" si="684"/>
        <v>0</v>
      </c>
      <c r="N2693" s="90">
        <v>0</v>
      </c>
      <c r="O2693" s="90">
        <f t="shared" si="685"/>
        <v>0</v>
      </c>
      <c r="P2693" s="92" t="s">
        <v>1647</v>
      </c>
      <c r="Z2693" s="93">
        <f t="shared" si="686"/>
        <v>0</v>
      </c>
      <c r="AB2693" s="93">
        <f t="shared" si="687"/>
        <v>0</v>
      </c>
      <c r="AC2693" s="93">
        <f t="shared" si="688"/>
        <v>0</v>
      </c>
      <c r="AD2693" s="93">
        <f t="shared" si="689"/>
        <v>0</v>
      </c>
      <c r="AE2693" s="93">
        <f t="shared" si="690"/>
        <v>0</v>
      </c>
      <c r="AF2693" s="93">
        <f t="shared" si="691"/>
        <v>0</v>
      </c>
      <c r="AG2693" s="93">
        <f t="shared" si="692"/>
        <v>0</v>
      </c>
      <c r="AH2693" s="93">
        <f t="shared" si="693"/>
        <v>0</v>
      </c>
      <c r="AI2693" s="88" t="s">
        <v>55</v>
      </c>
      <c r="AJ2693" s="93">
        <f t="shared" si="694"/>
        <v>0</v>
      </c>
      <c r="AK2693" s="93">
        <f t="shared" si="695"/>
        <v>0</v>
      </c>
      <c r="AL2693" s="93">
        <f t="shared" si="696"/>
        <v>0</v>
      </c>
      <c r="AN2693" s="93">
        <v>21</v>
      </c>
      <c r="AO2693" s="93">
        <f t="shared" si="697"/>
        <v>0</v>
      </c>
      <c r="AP2693" s="93">
        <f t="shared" si="698"/>
        <v>0</v>
      </c>
      <c r="AQ2693" s="94" t="s">
        <v>118</v>
      </c>
      <c r="AV2693" s="93">
        <f t="shared" si="699"/>
        <v>0</v>
      </c>
      <c r="AW2693" s="93">
        <f t="shared" si="700"/>
        <v>0</v>
      </c>
      <c r="AX2693" s="93">
        <f t="shared" si="701"/>
        <v>0</v>
      </c>
      <c r="AY2693" s="94" t="s">
        <v>3494</v>
      </c>
      <c r="AZ2693" s="94" t="s">
        <v>3495</v>
      </c>
      <c r="BA2693" s="88" t="s">
        <v>67</v>
      </c>
      <c r="BC2693" s="93">
        <f t="shared" si="702"/>
        <v>0</v>
      </c>
      <c r="BD2693" s="93">
        <f t="shared" si="703"/>
        <v>0</v>
      </c>
      <c r="BE2693" s="93">
        <v>0</v>
      </c>
      <c r="BF2693" s="93">
        <f t="shared" si="704"/>
        <v>0</v>
      </c>
      <c r="BH2693" s="93">
        <f t="shared" si="705"/>
        <v>0</v>
      </c>
      <c r="BI2693" s="93">
        <f t="shared" si="706"/>
        <v>0</v>
      </c>
      <c r="BJ2693" s="93">
        <f t="shared" si="707"/>
        <v>0</v>
      </c>
      <c r="BK2693" s="93"/>
      <c r="BL2693" s="93"/>
      <c r="BW2693" s="93" t="str">
        <f t="shared" si="708"/>
        <v>21</v>
      </c>
      <c r="BX2693" s="2" t="s">
        <v>3949</v>
      </c>
    </row>
    <row r="2694" spans="1:76" s="81" customFormat="1" ht="25.5" x14ac:dyDescent="0.25">
      <c r="A2694" s="66" t="s">
        <v>3968</v>
      </c>
      <c r="B2694" s="72" t="s">
        <v>55</v>
      </c>
      <c r="C2694" s="72" t="s">
        <v>3951</v>
      </c>
      <c r="D2694" s="174" t="s">
        <v>3952</v>
      </c>
      <c r="E2694" s="174"/>
      <c r="F2694" s="72" t="s">
        <v>203</v>
      </c>
      <c r="G2694" s="90">
        <v>5</v>
      </c>
      <c r="H2694" s="91"/>
      <c r="I2694" s="92" t="s">
        <v>63</v>
      </c>
      <c r="J2694" s="90">
        <f t="shared" si="681"/>
        <v>0</v>
      </c>
      <c r="K2694" s="90">
        <f t="shared" si="682"/>
        <v>0</v>
      </c>
      <c r="L2694" s="90">
        <f t="shared" si="683"/>
        <v>0</v>
      </c>
      <c r="M2694" s="90">
        <f t="shared" si="684"/>
        <v>0</v>
      </c>
      <c r="N2694" s="90">
        <v>0</v>
      </c>
      <c r="O2694" s="90">
        <f t="shared" si="685"/>
        <v>0</v>
      </c>
      <c r="P2694" s="92" t="s">
        <v>1647</v>
      </c>
      <c r="Z2694" s="93">
        <f t="shared" si="686"/>
        <v>0</v>
      </c>
      <c r="AB2694" s="93">
        <f t="shared" si="687"/>
        <v>0</v>
      </c>
      <c r="AC2694" s="93">
        <f t="shared" si="688"/>
        <v>0</v>
      </c>
      <c r="AD2694" s="93">
        <f t="shared" si="689"/>
        <v>0</v>
      </c>
      <c r="AE2694" s="93">
        <f t="shared" si="690"/>
        <v>0</v>
      </c>
      <c r="AF2694" s="93">
        <f t="shared" si="691"/>
        <v>0</v>
      </c>
      <c r="AG2694" s="93">
        <f t="shared" si="692"/>
        <v>0</v>
      </c>
      <c r="AH2694" s="93">
        <f t="shared" si="693"/>
        <v>0</v>
      </c>
      <c r="AI2694" s="88" t="s">
        <v>55</v>
      </c>
      <c r="AJ2694" s="93">
        <f t="shared" si="694"/>
        <v>0</v>
      </c>
      <c r="AK2694" s="93">
        <f t="shared" si="695"/>
        <v>0</v>
      </c>
      <c r="AL2694" s="93">
        <f t="shared" si="696"/>
        <v>0</v>
      </c>
      <c r="AN2694" s="93">
        <v>21</v>
      </c>
      <c r="AO2694" s="93">
        <f t="shared" si="697"/>
        <v>0</v>
      </c>
      <c r="AP2694" s="93">
        <f t="shared" si="698"/>
        <v>0</v>
      </c>
      <c r="AQ2694" s="94" t="s">
        <v>118</v>
      </c>
      <c r="AV2694" s="93">
        <f t="shared" si="699"/>
        <v>0</v>
      </c>
      <c r="AW2694" s="93">
        <f t="shared" si="700"/>
        <v>0</v>
      </c>
      <c r="AX2694" s="93">
        <f t="shared" si="701"/>
        <v>0</v>
      </c>
      <c r="AY2694" s="94" t="s">
        <v>3494</v>
      </c>
      <c r="AZ2694" s="94" t="s">
        <v>3495</v>
      </c>
      <c r="BA2694" s="88" t="s">
        <v>67</v>
      </c>
      <c r="BC2694" s="93">
        <f t="shared" si="702"/>
        <v>0</v>
      </c>
      <c r="BD2694" s="93">
        <f t="shared" si="703"/>
        <v>0</v>
      </c>
      <c r="BE2694" s="93">
        <v>0</v>
      </c>
      <c r="BF2694" s="93">
        <f t="shared" si="704"/>
        <v>0</v>
      </c>
      <c r="BH2694" s="93">
        <f t="shared" si="705"/>
        <v>0</v>
      </c>
      <c r="BI2694" s="93">
        <f t="shared" si="706"/>
        <v>0</v>
      </c>
      <c r="BJ2694" s="93">
        <f t="shared" si="707"/>
        <v>0</v>
      </c>
      <c r="BK2694" s="93"/>
      <c r="BL2694" s="93"/>
      <c r="BW2694" s="93" t="str">
        <f t="shared" si="708"/>
        <v>21</v>
      </c>
      <c r="BX2694" s="2" t="s">
        <v>3952</v>
      </c>
    </row>
    <row r="2695" spans="1:76" s="81" customFormat="1" ht="25.5" x14ac:dyDescent="0.25">
      <c r="A2695" s="66" t="s">
        <v>3970</v>
      </c>
      <c r="B2695" s="72" t="s">
        <v>55</v>
      </c>
      <c r="C2695" s="72" t="s">
        <v>3954</v>
      </c>
      <c r="D2695" s="174" t="s">
        <v>3955</v>
      </c>
      <c r="E2695" s="174"/>
      <c r="F2695" s="72" t="s">
        <v>203</v>
      </c>
      <c r="G2695" s="90">
        <v>5</v>
      </c>
      <c r="H2695" s="91"/>
      <c r="I2695" s="92" t="s">
        <v>63</v>
      </c>
      <c r="J2695" s="90">
        <f t="shared" si="681"/>
        <v>0</v>
      </c>
      <c r="K2695" s="90">
        <f t="shared" si="682"/>
        <v>0</v>
      </c>
      <c r="L2695" s="90">
        <f t="shared" si="683"/>
        <v>0</v>
      </c>
      <c r="M2695" s="90">
        <f t="shared" si="684"/>
        <v>0</v>
      </c>
      <c r="N2695" s="90">
        <v>0</v>
      </c>
      <c r="O2695" s="90">
        <f t="shared" si="685"/>
        <v>0</v>
      </c>
      <c r="P2695" s="92" t="s">
        <v>1647</v>
      </c>
      <c r="Z2695" s="93">
        <f t="shared" si="686"/>
        <v>0</v>
      </c>
      <c r="AB2695" s="93">
        <f t="shared" si="687"/>
        <v>0</v>
      </c>
      <c r="AC2695" s="93">
        <f t="shared" si="688"/>
        <v>0</v>
      </c>
      <c r="AD2695" s="93">
        <f t="shared" si="689"/>
        <v>0</v>
      </c>
      <c r="AE2695" s="93">
        <f t="shared" si="690"/>
        <v>0</v>
      </c>
      <c r="AF2695" s="93">
        <f t="shared" si="691"/>
        <v>0</v>
      </c>
      <c r="AG2695" s="93">
        <f t="shared" si="692"/>
        <v>0</v>
      </c>
      <c r="AH2695" s="93">
        <f t="shared" si="693"/>
        <v>0</v>
      </c>
      <c r="AI2695" s="88" t="s">
        <v>55</v>
      </c>
      <c r="AJ2695" s="93">
        <f t="shared" si="694"/>
        <v>0</v>
      </c>
      <c r="AK2695" s="93">
        <f t="shared" si="695"/>
        <v>0</v>
      </c>
      <c r="AL2695" s="93">
        <f t="shared" si="696"/>
        <v>0</v>
      </c>
      <c r="AN2695" s="93">
        <v>21</v>
      </c>
      <c r="AO2695" s="93">
        <f t="shared" si="697"/>
        <v>0</v>
      </c>
      <c r="AP2695" s="93">
        <f t="shared" si="698"/>
        <v>0</v>
      </c>
      <c r="AQ2695" s="94" t="s">
        <v>118</v>
      </c>
      <c r="AV2695" s="93">
        <f t="shared" si="699"/>
        <v>0</v>
      </c>
      <c r="AW2695" s="93">
        <f t="shared" si="700"/>
        <v>0</v>
      </c>
      <c r="AX2695" s="93">
        <f t="shared" si="701"/>
        <v>0</v>
      </c>
      <c r="AY2695" s="94" t="s">
        <v>3494</v>
      </c>
      <c r="AZ2695" s="94" t="s">
        <v>3495</v>
      </c>
      <c r="BA2695" s="88" t="s">
        <v>67</v>
      </c>
      <c r="BC2695" s="93">
        <f t="shared" si="702"/>
        <v>0</v>
      </c>
      <c r="BD2695" s="93">
        <f t="shared" si="703"/>
        <v>0</v>
      </c>
      <c r="BE2695" s="93">
        <v>0</v>
      </c>
      <c r="BF2695" s="93">
        <f t="shared" si="704"/>
        <v>0</v>
      </c>
      <c r="BH2695" s="93">
        <f t="shared" si="705"/>
        <v>0</v>
      </c>
      <c r="BI2695" s="93">
        <f t="shared" si="706"/>
        <v>0</v>
      </c>
      <c r="BJ2695" s="93">
        <f t="shared" si="707"/>
        <v>0</v>
      </c>
      <c r="BK2695" s="93"/>
      <c r="BL2695" s="93"/>
      <c r="BW2695" s="93" t="str">
        <f t="shared" si="708"/>
        <v>21</v>
      </c>
      <c r="BX2695" s="2" t="s">
        <v>3955</v>
      </c>
    </row>
    <row r="2696" spans="1:76" s="81" customFormat="1" ht="25.5" x14ac:dyDescent="0.25">
      <c r="A2696" s="66" t="s">
        <v>3973</v>
      </c>
      <c r="B2696" s="72" t="s">
        <v>55</v>
      </c>
      <c r="C2696" s="72" t="s">
        <v>3957</v>
      </c>
      <c r="D2696" s="174" t="s">
        <v>3958</v>
      </c>
      <c r="E2696" s="174"/>
      <c r="F2696" s="72" t="s">
        <v>213</v>
      </c>
      <c r="G2696" s="90">
        <v>18</v>
      </c>
      <c r="H2696" s="91"/>
      <c r="I2696" s="92" t="s">
        <v>63</v>
      </c>
      <c r="J2696" s="90">
        <f t="shared" si="681"/>
        <v>0</v>
      </c>
      <c r="K2696" s="90">
        <f t="shared" si="682"/>
        <v>0</v>
      </c>
      <c r="L2696" s="90">
        <f t="shared" si="683"/>
        <v>0</v>
      </c>
      <c r="M2696" s="90">
        <f t="shared" si="684"/>
        <v>0</v>
      </c>
      <c r="N2696" s="90">
        <v>0</v>
      </c>
      <c r="O2696" s="90">
        <f t="shared" si="685"/>
        <v>0</v>
      </c>
      <c r="P2696" s="92" t="s">
        <v>1647</v>
      </c>
      <c r="Z2696" s="93">
        <f t="shared" si="686"/>
        <v>0</v>
      </c>
      <c r="AB2696" s="93">
        <f t="shared" si="687"/>
        <v>0</v>
      </c>
      <c r="AC2696" s="93">
        <f t="shared" si="688"/>
        <v>0</v>
      </c>
      <c r="AD2696" s="93">
        <f t="shared" si="689"/>
        <v>0</v>
      </c>
      <c r="AE2696" s="93">
        <f t="shared" si="690"/>
        <v>0</v>
      </c>
      <c r="AF2696" s="93">
        <f t="shared" si="691"/>
        <v>0</v>
      </c>
      <c r="AG2696" s="93">
        <f t="shared" si="692"/>
        <v>0</v>
      </c>
      <c r="AH2696" s="93">
        <f t="shared" si="693"/>
        <v>0</v>
      </c>
      <c r="AI2696" s="88" t="s">
        <v>55</v>
      </c>
      <c r="AJ2696" s="93">
        <f t="shared" si="694"/>
        <v>0</v>
      </c>
      <c r="AK2696" s="93">
        <f t="shared" si="695"/>
        <v>0</v>
      </c>
      <c r="AL2696" s="93">
        <f t="shared" si="696"/>
        <v>0</v>
      </c>
      <c r="AN2696" s="93">
        <v>21</v>
      </c>
      <c r="AO2696" s="93">
        <f t="shared" si="697"/>
        <v>0</v>
      </c>
      <c r="AP2696" s="93">
        <f t="shared" si="698"/>
        <v>0</v>
      </c>
      <c r="AQ2696" s="94" t="s">
        <v>118</v>
      </c>
      <c r="AV2696" s="93">
        <f t="shared" si="699"/>
        <v>0</v>
      </c>
      <c r="AW2696" s="93">
        <f t="shared" si="700"/>
        <v>0</v>
      </c>
      <c r="AX2696" s="93">
        <f t="shared" si="701"/>
        <v>0</v>
      </c>
      <c r="AY2696" s="94" t="s">
        <v>3494</v>
      </c>
      <c r="AZ2696" s="94" t="s">
        <v>3495</v>
      </c>
      <c r="BA2696" s="88" t="s">
        <v>67</v>
      </c>
      <c r="BC2696" s="93">
        <f t="shared" si="702"/>
        <v>0</v>
      </c>
      <c r="BD2696" s="93">
        <f t="shared" si="703"/>
        <v>0</v>
      </c>
      <c r="BE2696" s="93">
        <v>0</v>
      </c>
      <c r="BF2696" s="93">
        <f t="shared" si="704"/>
        <v>0</v>
      </c>
      <c r="BH2696" s="93">
        <f t="shared" si="705"/>
        <v>0</v>
      </c>
      <c r="BI2696" s="93">
        <f t="shared" si="706"/>
        <v>0</v>
      </c>
      <c r="BJ2696" s="93">
        <f t="shared" si="707"/>
        <v>0</v>
      </c>
      <c r="BK2696" s="93"/>
      <c r="BL2696" s="93"/>
      <c r="BW2696" s="93" t="str">
        <f t="shared" si="708"/>
        <v>21</v>
      </c>
      <c r="BX2696" s="2" t="s">
        <v>3958</v>
      </c>
    </row>
    <row r="2697" spans="1:76" s="81" customFormat="1" ht="25.5" x14ac:dyDescent="0.25">
      <c r="A2697" s="66" t="s">
        <v>3976</v>
      </c>
      <c r="B2697" s="72" t="s">
        <v>55</v>
      </c>
      <c r="C2697" s="72" t="s">
        <v>3960</v>
      </c>
      <c r="D2697" s="174" t="s">
        <v>3961</v>
      </c>
      <c r="E2697" s="174"/>
      <c r="F2697" s="72" t="s">
        <v>213</v>
      </c>
      <c r="G2697" s="90">
        <v>86</v>
      </c>
      <c r="H2697" s="91"/>
      <c r="I2697" s="92" t="s">
        <v>63</v>
      </c>
      <c r="J2697" s="90">
        <f t="shared" si="681"/>
        <v>0</v>
      </c>
      <c r="K2697" s="90">
        <f t="shared" si="682"/>
        <v>0</v>
      </c>
      <c r="L2697" s="90">
        <f t="shared" si="683"/>
        <v>0</v>
      </c>
      <c r="M2697" s="90">
        <f t="shared" si="684"/>
        <v>0</v>
      </c>
      <c r="N2697" s="90">
        <v>0</v>
      </c>
      <c r="O2697" s="90">
        <f t="shared" si="685"/>
        <v>0</v>
      </c>
      <c r="P2697" s="92" t="s">
        <v>1647</v>
      </c>
      <c r="Z2697" s="93">
        <f t="shared" si="686"/>
        <v>0</v>
      </c>
      <c r="AB2697" s="93">
        <f t="shared" si="687"/>
        <v>0</v>
      </c>
      <c r="AC2697" s="93">
        <f t="shared" si="688"/>
        <v>0</v>
      </c>
      <c r="AD2697" s="93">
        <f t="shared" si="689"/>
        <v>0</v>
      </c>
      <c r="AE2697" s="93">
        <f t="shared" si="690"/>
        <v>0</v>
      </c>
      <c r="AF2697" s="93">
        <f t="shared" si="691"/>
        <v>0</v>
      </c>
      <c r="AG2697" s="93">
        <f t="shared" si="692"/>
        <v>0</v>
      </c>
      <c r="AH2697" s="93">
        <f t="shared" si="693"/>
        <v>0</v>
      </c>
      <c r="AI2697" s="88" t="s">
        <v>55</v>
      </c>
      <c r="AJ2697" s="93">
        <f t="shared" si="694"/>
        <v>0</v>
      </c>
      <c r="AK2697" s="93">
        <f t="shared" si="695"/>
        <v>0</v>
      </c>
      <c r="AL2697" s="93">
        <f t="shared" si="696"/>
        <v>0</v>
      </c>
      <c r="AN2697" s="93">
        <v>21</v>
      </c>
      <c r="AO2697" s="93">
        <f t="shared" si="697"/>
        <v>0</v>
      </c>
      <c r="AP2697" s="93">
        <f t="shared" si="698"/>
        <v>0</v>
      </c>
      <c r="AQ2697" s="94" t="s">
        <v>118</v>
      </c>
      <c r="AV2697" s="93">
        <f t="shared" si="699"/>
        <v>0</v>
      </c>
      <c r="AW2697" s="93">
        <f t="shared" si="700"/>
        <v>0</v>
      </c>
      <c r="AX2697" s="93">
        <f t="shared" si="701"/>
        <v>0</v>
      </c>
      <c r="AY2697" s="94" t="s">
        <v>3494</v>
      </c>
      <c r="AZ2697" s="94" t="s">
        <v>3495</v>
      </c>
      <c r="BA2697" s="88" t="s">
        <v>67</v>
      </c>
      <c r="BC2697" s="93">
        <f t="shared" si="702"/>
        <v>0</v>
      </c>
      <c r="BD2697" s="93">
        <f t="shared" si="703"/>
        <v>0</v>
      </c>
      <c r="BE2697" s="93">
        <v>0</v>
      </c>
      <c r="BF2697" s="93">
        <f t="shared" si="704"/>
        <v>0</v>
      </c>
      <c r="BH2697" s="93">
        <f t="shared" si="705"/>
        <v>0</v>
      </c>
      <c r="BI2697" s="93">
        <f t="shared" si="706"/>
        <v>0</v>
      </c>
      <c r="BJ2697" s="93">
        <f t="shared" si="707"/>
        <v>0</v>
      </c>
      <c r="BK2697" s="93"/>
      <c r="BL2697" s="93"/>
      <c r="BW2697" s="93" t="str">
        <f t="shared" si="708"/>
        <v>21</v>
      </c>
      <c r="BX2697" s="2" t="s">
        <v>3961</v>
      </c>
    </row>
    <row r="2698" spans="1:76" s="81" customFormat="1" ht="25.5" x14ac:dyDescent="0.25">
      <c r="A2698" s="66" t="s">
        <v>3979</v>
      </c>
      <c r="B2698" s="72" t="s">
        <v>55</v>
      </c>
      <c r="C2698" s="72" t="s">
        <v>3963</v>
      </c>
      <c r="D2698" s="174" t="s">
        <v>3964</v>
      </c>
      <c r="E2698" s="174"/>
      <c r="F2698" s="72" t="s">
        <v>213</v>
      </c>
      <c r="G2698" s="90">
        <v>44</v>
      </c>
      <c r="H2698" s="91"/>
      <c r="I2698" s="92" t="s">
        <v>63</v>
      </c>
      <c r="J2698" s="90">
        <f t="shared" ref="J2698:J2716" si="709">G2698*AO2698</f>
        <v>0</v>
      </c>
      <c r="K2698" s="90">
        <f t="shared" ref="K2698:K2716" si="710">G2698*AP2698</f>
        <v>0</v>
      </c>
      <c r="L2698" s="90">
        <f t="shared" ref="L2698:L2716" si="711">G2698*H2698</f>
        <v>0</v>
      </c>
      <c r="M2698" s="90">
        <f t="shared" ref="M2698:M2716" si="712">L2698*(1+BW2698/100)</f>
        <v>0</v>
      </c>
      <c r="N2698" s="90">
        <v>0</v>
      </c>
      <c r="O2698" s="90">
        <f t="shared" ref="O2698:O2716" si="713">G2698*N2698</f>
        <v>0</v>
      </c>
      <c r="P2698" s="92" t="s">
        <v>1647</v>
      </c>
      <c r="Z2698" s="93">
        <f t="shared" ref="Z2698:Z2716" si="714">IF(AQ2698="5",BJ2698,0)</f>
        <v>0</v>
      </c>
      <c r="AB2698" s="93">
        <f t="shared" ref="AB2698:AB2716" si="715">IF(AQ2698="1",BH2698,0)</f>
        <v>0</v>
      </c>
      <c r="AC2698" s="93">
        <f t="shared" ref="AC2698:AC2716" si="716">IF(AQ2698="1",BI2698,0)</f>
        <v>0</v>
      </c>
      <c r="AD2698" s="93">
        <f t="shared" ref="AD2698:AD2716" si="717">IF(AQ2698="7",BH2698,0)</f>
        <v>0</v>
      </c>
      <c r="AE2698" s="93">
        <f t="shared" ref="AE2698:AE2716" si="718">IF(AQ2698="7",BI2698,0)</f>
        <v>0</v>
      </c>
      <c r="AF2698" s="93">
        <f t="shared" ref="AF2698:AF2716" si="719">IF(AQ2698="2",BH2698,0)</f>
        <v>0</v>
      </c>
      <c r="AG2698" s="93">
        <f t="shared" ref="AG2698:AG2716" si="720">IF(AQ2698="2",BI2698,0)</f>
        <v>0</v>
      </c>
      <c r="AH2698" s="93">
        <f t="shared" ref="AH2698:AH2716" si="721">IF(AQ2698="0",BJ2698,0)</f>
        <v>0</v>
      </c>
      <c r="AI2698" s="88" t="s">
        <v>55</v>
      </c>
      <c r="AJ2698" s="93">
        <f t="shared" ref="AJ2698:AJ2716" si="722">IF(AN2698=0,L2698,0)</f>
        <v>0</v>
      </c>
      <c r="AK2698" s="93">
        <f t="shared" ref="AK2698:AK2716" si="723">IF(AN2698=12,L2698,0)</f>
        <v>0</v>
      </c>
      <c r="AL2698" s="93">
        <f t="shared" ref="AL2698:AL2716" si="724">IF(AN2698=21,L2698,0)</f>
        <v>0</v>
      </c>
      <c r="AN2698" s="93">
        <v>21</v>
      </c>
      <c r="AO2698" s="93">
        <f t="shared" ref="AO2698:AO2716" si="725">H2698*0</f>
        <v>0</v>
      </c>
      <c r="AP2698" s="93">
        <f t="shared" ref="AP2698:AP2716" si="726">H2698*(1-0)</f>
        <v>0</v>
      </c>
      <c r="AQ2698" s="94" t="s">
        <v>118</v>
      </c>
      <c r="AV2698" s="93">
        <f t="shared" ref="AV2698:AV2716" si="727">AW2698+AX2698</f>
        <v>0</v>
      </c>
      <c r="AW2698" s="93">
        <f t="shared" ref="AW2698:AW2716" si="728">G2698*AO2698</f>
        <v>0</v>
      </c>
      <c r="AX2698" s="93">
        <f t="shared" ref="AX2698:AX2716" si="729">G2698*AP2698</f>
        <v>0</v>
      </c>
      <c r="AY2698" s="94" t="s">
        <v>3494</v>
      </c>
      <c r="AZ2698" s="94" t="s">
        <v>3495</v>
      </c>
      <c r="BA2698" s="88" t="s">
        <v>67</v>
      </c>
      <c r="BC2698" s="93">
        <f t="shared" ref="BC2698:BC2716" si="730">AW2698+AX2698</f>
        <v>0</v>
      </c>
      <c r="BD2698" s="93">
        <f t="shared" ref="BD2698:BD2716" si="731">H2698/(100-BE2698)*100</f>
        <v>0</v>
      </c>
      <c r="BE2698" s="93">
        <v>0</v>
      </c>
      <c r="BF2698" s="93">
        <f t="shared" ref="BF2698:BF2716" si="732">O2698</f>
        <v>0</v>
      </c>
      <c r="BH2698" s="93">
        <f t="shared" ref="BH2698:BH2716" si="733">G2698*AO2698</f>
        <v>0</v>
      </c>
      <c r="BI2698" s="93">
        <f t="shared" ref="BI2698:BI2716" si="734">G2698*AP2698</f>
        <v>0</v>
      </c>
      <c r="BJ2698" s="93">
        <f t="shared" ref="BJ2698:BJ2716" si="735">G2698*H2698</f>
        <v>0</v>
      </c>
      <c r="BK2698" s="93"/>
      <c r="BL2698" s="93"/>
      <c r="BW2698" s="93" t="str">
        <f t="shared" ref="BW2698:BW2716" si="736">I2698</f>
        <v>21</v>
      </c>
      <c r="BX2698" s="2" t="s">
        <v>3964</v>
      </c>
    </row>
    <row r="2699" spans="1:76" s="81" customFormat="1" ht="25.5" x14ac:dyDescent="0.25">
      <c r="A2699" s="66" t="s">
        <v>3982</v>
      </c>
      <c r="B2699" s="72" t="s">
        <v>55</v>
      </c>
      <c r="C2699" s="72" t="s">
        <v>3966</v>
      </c>
      <c r="D2699" s="174" t="s">
        <v>3967</v>
      </c>
      <c r="E2699" s="174"/>
      <c r="F2699" s="72" t="s">
        <v>213</v>
      </c>
      <c r="G2699" s="90">
        <v>22</v>
      </c>
      <c r="H2699" s="91"/>
      <c r="I2699" s="92" t="s">
        <v>63</v>
      </c>
      <c r="J2699" s="90">
        <f t="shared" si="709"/>
        <v>0</v>
      </c>
      <c r="K2699" s="90">
        <f t="shared" si="710"/>
        <v>0</v>
      </c>
      <c r="L2699" s="90">
        <f t="shared" si="711"/>
        <v>0</v>
      </c>
      <c r="M2699" s="90">
        <f t="shared" si="712"/>
        <v>0</v>
      </c>
      <c r="N2699" s="90">
        <v>0</v>
      </c>
      <c r="O2699" s="90">
        <f t="shared" si="713"/>
        <v>0</v>
      </c>
      <c r="P2699" s="92" t="s">
        <v>1647</v>
      </c>
      <c r="Z2699" s="93">
        <f t="shared" si="714"/>
        <v>0</v>
      </c>
      <c r="AB2699" s="93">
        <f t="shared" si="715"/>
        <v>0</v>
      </c>
      <c r="AC2699" s="93">
        <f t="shared" si="716"/>
        <v>0</v>
      </c>
      <c r="AD2699" s="93">
        <f t="shared" si="717"/>
        <v>0</v>
      </c>
      <c r="AE2699" s="93">
        <f t="shared" si="718"/>
        <v>0</v>
      </c>
      <c r="AF2699" s="93">
        <f t="shared" si="719"/>
        <v>0</v>
      </c>
      <c r="AG2699" s="93">
        <f t="shared" si="720"/>
        <v>0</v>
      </c>
      <c r="AH2699" s="93">
        <f t="shared" si="721"/>
        <v>0</v>
      </c>
      <c r="AI2699" s="88" t="s">
        <v>55</v>
      </c>
      <c r="AJ2699" s="93">
        <f t="shared" si="722"/>
        <v>0</v>
      </c>
      <c r="AK2699" s="93">
        <f t="shared" si="723"/>
        <v>0</v>
      </c>
      <c r="AL2699" s="93">
        <f t="shared" si="724"/>
        <v>0</v>
      </c>
      <c r="AN2699" s="93">
        <v>21</v>
      </c>
      <c r="AO2699" s="93">
        <f t="shared" si="725"/>
        <v>0</v>
      </c>
      <c r="AP2699" s="93">
        <f t="shared" si="726"/>
        <v>0</v>
      </c>
      <c r="AQ2699" s="94" t="s">
        <v>118</v>
      </c>
      <c r="AV2699" s="93">
        <f t="shared" si="727"/>
        <v>0</v>
      </c>
      <c r="AW2699" s="93">
        <f t="shared" si="728"/>
        <v>0</v>
      </c>
      <c r="AX2699" s="93">
        <f t="shared" si="729"/>
        <v>0</v>
      </c>
      <c r="AY2699" s="94" t="s">
        <v>3494</v>
      </c>
      <c r="AZ2699" s="94" t="s">
        <v>3495</v>
      </c>
      <c r="BA2699" s="88" t="s">
        <v>67</v>
      </c>
      <c r="BC2699" s="93">
        <f t="shared" si="730"/>
        <v>0</v>
      </c>
      <c r="BD2699" s="93">
        <f t="shared" si="731"/>
        <v>0</v>
      </c>
      <c r="BE2699" s="93">
        <v>0</v>
      </c>
      <c r="BF2699" s="93">
        <f t="shared" si="732"/>
        <v>0</v>
      </c>
      <c r="BH2699" s="93">
        <f t="shared" si="733"/>
        <v>0</v>
      </c>
      <c r="BI2699" s="93">
        <f t="shared" si="734"/>
        <v>0</v>
      </c>
      <c r="BJ2699" s="93">
        <f t="shared" si="735"/>
        <v>0</v>
      </c>
      <c r="BK2699" s="93"/>
      <c r="BL2699" s="93"/>
      <c r="BW2699" s="93" t="str">
        <f t="shared" si="736"/>
        <v>21</v>
      </c>
      <c r="BX2699" s="2" t="s">
        <v>3967</v>
      </c>
    </row>
    <row r="2700" spans="1:76" s="81" customFormat="1" ht="25.5" x14ac:dyDescent="0.25">
      <c r="A2700" s="66" t="s">
        <v>3985</v>
      </c>
      <c r="B2700" s="72" t="s">
        <v>55</v>
      </c>
      <c r="C2700" s="72" t="s">
        <v>3969</v>
      </c>
      <c r="D2700" s="174" t="s">
        <v>3586</v>
      </c>
      <c r="E2700" s="174"/>
      <c r="F2700" s="72" t="s">
        <v>213</v>
      </c>
      <c r="G2700" s="90">
        <v>21</v>
      </c>
      <c r="H2700" s="91"/>
      <c r="I2700" s="92" t="s">
        <v>63</v>
      </c>
      <c r="J2700" s="90">
        <f t="shared" si="709"/>
        <v>0</v>
      </c>
      <c r="K2700" s="90">
        <f t="shared" si="710"/>
        <v>0</v>
      </c>
      <c r="L2700" s="90">
        <f t="shared" si="711"/>
        <v>0</v>
      </c>
      <c r="M2700" s="90">
        <f t="shared" si="712"/>
        <v>0</v>
      </c>
      <c r="N2700" s="90">
        <v>0</v>
      </c>
      <c r="O2700" s="90">
        <f t="shared" si="713"/>
        <v>0</v>
      </c>
      <c r="P2700" s="92" t="s">
        <v>1647</v>
      </c>
      <c r="Z2700" s="93">
        <f t="shared" si="714"/>
        <v>0</v>
      </c>
      <c r="AB2700" s="93">
        <f t="shared" si="715"/>
        <v>0</v>
      </c>
      <c r="AC2700" s="93">
        <f t="shared" si="716"/>
        <v>0</v>
      </c>
      <c r="AD2700" s="93">
        <f t="shared" si="717"/>
        <v>0</v>
      </c>
      <c r="AE2700" s="93">
        <f t="shared" si="718"/>
        <v>0</v>
      </c>
      <c r="AF2700" s="93">
        <f t="shared" si="719"/>
        <v>0</v>
      </c>
      <c r="AG2700" s="93">
        <f t="shared" si="720"/>
        <v>0</v>
      </c>
      <c r="AH2700" s="93">
        <f t="shared" si="721"/>
        <v>0</v>
      </c>
      <c r="AI2700" s="88" t="s">
        <v>55</v>
      </c>
      <c r="AJ2700" s="93">
        <f t="shared" si="722"/>
        <v>0</v>
      </c>
      <c r="AK2700" s="93">
        <f t="shared" si="723"/>
        <v>0</v>
      </c>
      <c r="AL2700" s="93">
        <f t="shared" si="724"/>
        <v>0</v>
      </c>
      <c r="AN2700" s="93">
        <v>21</v>
      </c>
      <c r="AO2700" s="93">
        <f t="shared" si="725"/>
        <v>0</v>
      </c>
      <c r="AP2700" s="93">
        <f t="shared" si="726"/>
        <v>0</v>
      </c>
      <c r="AQ2700" s="94" t="s">
        <v>118</v>
      </c>
      <c r="AV2700" s="93">
        <f t="shared" si="727"/>
        <v>0</v>
      </c>
      <c r="AW2700" s="93">
        <f t="shared" si="728"/>
        <v>0</v>
      </c>
      <c r="AX2700" s="93">
        <f t="shared" si="729"/>
        <v>0</v>
      </c>
      <c r="AY2700" s="94" t="s">
        <v>3494</v>
      </c>
      <c r="AZ2700" s="94" t="s">
        <v>3495</v>
      </c>
      <c r="BA2700" s="88" t="s">
        <v>67</v>
      </c>
      <c r="BC2700" s="93">
        <f t="shared" si="730"/>
        <v>0</v>
      </c>
      <c r="BD2700" s="93">
        <f t="shared" si="731"/>
        <v>0</v>
      </c>
      <c r="BE2700" s="93">
        <v>0</v>
      </c>
      <c r="BF2700" s="93">
        <f t="shared" si="732"/>
        <v>0</v>
      </c>
      <c r="BH2700" s="93">
        <f t="shared" si="733"/>
        <v>0</v>
      </c>
      <c r="BI2700" s="93">
        <f t="shared" si="734"/>
        <v>0</v>
      </c>
      <c r="BJ2700" s="93">
        <f t="shared" si="735"/>
        <v>0</v>
      </c>
      <c r="BK2700" s="93"/>
      <c r="BL2700" s="93"/>
      <c r="BW2700" s="93" t="str">
        <f t="shared" si="736"/>
        <v>21</v>
      </c>
      <c r="BX2700" s="2" t="s">
        <v>3586</v>
      </c>
    </row>
    <row r="2701" spans="1:76" s="81" customFormat="1" ht="25.5" x14ac:dyDescent="0.25">
      <c r="A2701" s="66" t="s">
        <v>3988</v>
      </c>
      <c r="B2701" s="72" t="s">
        <v>55</v>
      </c>
      <c r="C2701" s="72" t="s">
        <v>3971</v>
      </c>
      <c r="D2701" s="174" t="s">
        <v>3972</v>
      </c>
      <c r="E2701" s="174"/>
      <c r="F2701" s="72" t="s">
        <v>3596</v>
      </c>
      <c r="G2701" s="90">
        <v>4</v>
      </c>
      <c r="H2701" s="91"/>
      <c r="I2701" s="92" t="s">
        <v>63</v>
      </c>
      <c r="J2701" s="90">
        <f t="shared" si="709"/>
        <v>0</v>
      </c>
      <c r="K2701" s="90">
        <f t="shared" si="710"/>
        <v>0</v>
      </c>
      <c r="L2701" s="90">
        <f t="shared" si="711"/>
        <v>0</v>
      </c>
      <c r="M2701" s="90">
        <f t="shared" si="712"/>
        <v>0</v>
      </c>
      <c r="N2701" s="90">
        <v>0</v>
      </c>
      <c r="O2701" s="90">
        <f t="shared" si="713"/>
        <v>0</v>
      </c>
      <c r="P2701" s="92" t="s">
        <v>1647</v>
      </c>
      <c r="Z2701" s="93">
        <f t="shared" si="714"/>
        <v>0</v>
      </c>
      <c r="AB2701" s="93">
        <f t="shared" si="715"/>
        <v>0</v>
      </c>
      <c r="AC2701" s="93">
        <f t="shared" si="716"/>
        <v>0</v>
      </c>
      <c r="AD2701" s="93">
        <f t="shared" si="717"/>
        <v>0</v>
      </c>
      <c r="AE2701" s="93">
        <f t="shared" si="718"/>
        <v>0</v>
      </c>
      <c r="AF2701" s="93">
        <f t="shared" si="719"/>
        <v>0</v>
      </c>
      <c r="AG2701" s="93">
        <f t="shared" si="720"/>
        <v>0</v>
      </c>
      <c r="AH2701" s="93">
        <f t="shared" si="721"/>
        <v>0</v>
      </c>
      <c r="AI2701" s="88" t="s">
        <v>55</v>
      </c>
      <c r="AJ2701" s="93">
        <f t="shared" si="722"/>
        <v>0</v>
      </c>
      <c r="AK2701" s="93">
        <f t="shared" si="723"/>
        <v>0</v>
      </c>
      <c r="AL2701" s="93">
        <f t="shared" si="724"/>
        <v>0</v>
      </c>
      <c r="AN2701" s="93">
        <v>21</v>
      </c>
      <c r="AO2701" s="93">
        <f t="shared" si="725"/>
        <v>0</v>
      </c>
      <c r="AP2701" s="93">
        <f t="shared" si="726"/>
        <v>0</v>
      </c>
      <c r="AQ2701" s="94" t="s">
        <v>118</v>
      </c>
      <c r="AV2701" s="93">
        <f t="shared" si="727"/>
        <v>0</v>
      </c>
      <c r="AW2701" s="93">
        <f t="shared" si="728"/>
        <v>0</v>
      </c>
      <c r="AX2701" s="93">
        <f t="shared" si="729"/>
        <v>0</v>
      </c>
      <c r="AY2701" s="94" t="s">
        <v>3494</v>
      </c>
      <c r="AZ2701" s="94" t="s">
        <v>3495</v>
      </c>
      <c r="BA2701" s="88" t="s">
        <v>67</v>
      </c>
      <c r="BC2701" s="93">
        <f t="shared" si="730"/>
        <v>0</v>
      </c>
      <c r="BD2701" s="93">
        <f t="shared" si="731"/>
        <v>0</v>
      </c>
      <c r="BE2701" s="93">
        <v>0</v>
      </c>
      <c r="BF2701" s="93">
        <f t="shared" si="732"/>
        <v>0</v>
      </c>
      <c r="BH2701" s="93">
        <f t="shared" si="733"/>
        <v>0</v>
      </c>
      <c r="BI2701" s="93">
        <f t="shared" si="734"/>
        <v>0</v>
      </c>
      <c r="BJ2701" s="93">
        <f t="shared" si="735"/>
        <v>0</v>
      </c>
      <c r="BK2701" s="93"/>
      <c r="BL2701" s="93"/>
      <c r="BW2701" s="93" t="str">
        <f t="shared" si="736"/>
        <v>21</v>
      </c>
      <c r="BX2701" s="2" t="s">
        <v>3972</v>
      </c>
    </row>
    <row r="2702" spans="1:76" s="81" customFormat="1" ht="25.5" x14ac:dyDescent="0.25">
      <c r="A2702" s="66" t="s">
        <v>3991</v>
      </c>
      <c r="B2702" s="72" t="s">
        <v>55</v>
      </c>
      <c r="C2702" s="72" t="s">
        <v>3974</v>
      </c>
      <c r="D2702" s="174" t="s">
        <v>3975</v>
      </c>
      <c r="E2702" s="174"/>
      <c r="F2702" s="72" t="s">
        <v>213</v>
      </c>
      <c r="G2702" s="90">
        <v>132</v>
      </c>
      <c r="H2702" s="91"/>
      <c r="I2702" s="92" t="s">
        <v>63</v>
      </c>
      <c r="J2702" s="90">
        <f t="shared" si="709"/>
        <v>0</v>
      </c>
      <c r="K2702" s="90">
        <f t="shared" si="710"/>
        <v>0</v>
      </c>
      <c r="L2702" s="90">
        <f t="shared" si="711"/>
        <v>0</v>
      </c>
      <c r="M2702" s="90">
        <f t="shared" si="712"/>
        <v>0</v>
      </c>
      <c r="N2702" s="90">
        <v>0</v>
      </c>
      <c r="O2702" s="90">
        <f t="shared" si="713"/>
        <v>0</v>
      </c>
      <c r="P2702" s="92" t="s">
        <v>1647</v>
      </c>
      <c r="Z2702" s="93">
        <f t="shared" si="714"/>
        <v>0</v>
      </c>
      <c r="AB2702" s="93">
        <f t="shared" si="715"/>
        <v>0</v>
      </c>
      <c r="AC2702" s="93">
        <f t="shared" si="716"/>
        <v>0</v>
      </c>
      <c r="AD2702" s="93">
        <f t="shared" si="717"/>
        <v>0</v>
      </c>
      <c r="AE2702" s="93">
        <f t="shared" si="718"/>
        <v>0</v>
      </c>
      <c r="AF2702" s="93">
        <f t="shared" si="719"/>
        <v>0</v>
      </c>
      <c r="AG2702" s="93">
        <f t="shared" si="720"/>
        <v>0</v>
      </c>
      <c r="AH2702" s="93">
        <f t="shared" si="721"/>
        <v>0</v>
      </c>
      <c r="AI2702" s="88" t="s">
        <v>55</v>
      </c>
      <c r="AJ2702" s="93">
        <f t="shared" si="722"/>
        <v>0</v>
      </c>
      <c r="AK2702" s="93">
        <f t="shared" si="723"/>
        <v>0</v>
      </c>
      <c r="AL2702" s="93">
        <f t="shared" si="724"/>
        <v>0</v>
      </c>
      <c r="AN2702" s="93">
        <v>21</v>
      </c>
      <c r="AO2702" s="93">
        <f t="shared" si="725"/>
        <v>0</v>
      </c>
      <c r="AP2702" s="93">
        <f t="shared" si="726"/>
        <v>0</v>
      </c>
      <c r="AQ2702" s="94" t="s">
        <v>118</v>
      </c>
      <c r="AV2702" s="93">
        <f t="shared" si="727"/>
        <v>0</v>
      </c>
      <c r="AW2702" s="93">
        <f t="shared" si="728"/>
        <v>0</v>
      </c>
      <c r="AX2702" s="93">
        <f t="shared" si="729"/>
        <v>0</v>
      </c>
      <c r="AY2702" s="94" t="s">
        <v>3494</v>
      </c>
      <c r="AZ2702" s="94" t="s">
        <v>3495</v>
      </c>
      <c r="BA2702" s="88" t="s">
        <v>67</v>
      </c>
      <c r="BC2702" s="93">
        <f t="shared" si="730"/>
        <v>0</v>
      </c>
      <c r="BD2702" s="93">
        <f t="shared" si="731"/>
        <v>0</v>
      </c>
      <c r="BE2702" s="93">
        <v>0</v>
      </c>
      <c r="BF2702" s="93">
        <f t="shared" si="732"/>
        <v>0</v>
      </c>
      <c r="BH2702" s="93">
        <f t="shared" si="733"/>
        <v>0</v>
      </c>
      <c r="BI2702" s="93">
        <f t="shared" si="734"/>
        <v>0</v>
      </c>
      <c r="BJ2702" s="93">
        <f t="shared" si="735"/>
        <v>0</v>
      </c>
      <c r="BK2702" s="93"/>
      <c r="BL2702" s="93"/>
      <c r="BW2702" s="93" t="str">
        <f t="shared" si="736"/>
        <v>21</v>
      </c>
      <c r="BX2702" s="2" t="s">
        <v>3975</v>
      </c>
    </row>
    <row r="2703" spans="1:76" s="81" customFormat="1" ht="25.5" x14ac:dyDescent="0.25">
      <c r="A2703" s="66" t="s">
        <v>3994</v>
      </c>
      <c r="B2703" s="72" t="s">
        <v>55</v>
      </c>
      <c r="C2703" s="72" t="s">
        <v>3977</v>
      </c>
      <c r="D2703" s="174" t="s">
        <v>3978</v>
      </c>
      <c r="E2703" s="174"/>
      <c r="F2703" s="72" t="s">
        <v>203</v>
      </c>
      <c r="G2703" s="90">
        <v>10</v>
      </c>
      <c r="H2703" s="91"/>
      <c r="I2703" s="92" t="s">
        <v>63</v>
      </c>
      <c r="J2703" s="90">
        <f t="shared" si="709"/>
        <v>0</v>
      </c>
      <c r="K2703" s="90">
        <f t="shared" si="710"/>
        <v>0</v>
      </c>
      <c r="L2703" s="90">
        <f t="shared" si="711"/>
        <v>0</v>
      </c>
      <c r="M2703" s="90">
        <f t="shared" si="712"/>
        <v>0</v>
      </c>
      <c r="N2703" s="90">
        <v>0</v>
      </c>
      <c r="O2703" s="90">
        <f t="shared" si="713"/>
        <v>0</v>
      </c>
      <c r="P2703" s="92" t="s">
        <v>1647</v>
      </c>
      <c r="Z2703" s="93">
        <f t="shared" si="714"/>
        <v>0</v>
      </c>
      <c r="AB2703" s="93">
        <f t="shared" si="715"/>
        <v>0</v>
      </c>
      <c r="AC2703" s="93">
        <f t="shared" si="716"/>
        <v>0</v>
      </c>
      <c r="AD2703" s="93">
        <f t="shared" si="717"/>
        <v>0</v>
      </c>
      <c r="AE2703" s="93">
        <f t="shared" si="718"/>
        <v>0</v>
      </c>
      <c r="AF2703" s="93">
        <f t="shared" si="719"/>
        <v>0</v>
      </c>
      <c r="AG2703" s="93">
        <f t="shared" si="720"/>
        <v>0</v>
      </c>
      <c r="AH2703" s="93">
        <f t="shared" si="721"/>
        <v>0</v>
      </c>
      <c r="AI2703" s="88" t="s">
        <v>55</v>
      </c>
      <c r="AJ2703" s="93">
        <f t="shared" si="722"/>
        <v>0</v>
      </c>
      <c r="AK2703" s="93">
        <f t="shared" si="723"/>
        <v>0</v>
      </c>
      <c r="AL2703" s="93">
        <f t="shared" si="724"/>
        <v>0</v>
      </c>
      <c r="AN2703" s="93">
        <v>21</v>
      </c>
      <c r="AO2703" s="93">
        <f t="shared" si="725"/>
        <v>0</v>
      </c>
      <c r="AP2703" s="93">
        <f t="shared" si="726"/>
        <v>0</v>
      </c>
      <c r="AQ2703" s="94" t="s">
        <v>118</v>
      </c>
      <c r="AV2703" s="93">
        <f t="shared" si="727"/>
        <v>0</v>
      </c>
      <c r="AW2703" s="93">
        <f t="shared" si="728"/>
        <v>0</v>
      </c>
      <c r="AX2703" s="93">
        <f t="shared" si="729"/>
        <v>0</v>
      </c>
      <c r="AY2703" s="94" t="s">
        <v>3494</v>
      </c>
      <c r="AZ2703" s="94" t="s">
        <v>3495</v>
      </c>
      <c r="BA2703" s="88" t="s">
        <v>67</v>
      </c>
      <c r="BC2703" s="93">
        <f t="shared" si="730"/>
        <v>0</v>
      </c>
      <c r="BD2703" s="93">
        <f t="shared" si="731"/>
        <v>0</v>
      </c>
      <c r="BE2703" s="93">
        <v>0</v>
      </c>
      <c r="BF2703" s="93">
        <f t="shared" si="732"/>
        <v>0</v>
      </c>
      <c r="BH2703" s="93">
        <f t="shared" si="733"/>
        <v>0</v>
      </c>
      <c r="BI2703" s="93">
        <f t="shared" si="734"/>
        <v>0</v>
      </c>
      <c r="BJ2703" s="93">
        <f t="shared" si="735"/>
        <v>0</v>
      </c>
      <c r="BK2703" s="93"/>
      <c r="BL2703" s="93"/>
      <c r="BW2703" s="93" t="str">
        <f t="shared" si="736"/>
        <v>21</v>
      </c>
      <c r="BX2703" s="2" t="s">
        <v>3978</v>
      </c>
    </row>
    <row r="2704" spans="1:76" s="81" customFormat="1" ht="25.5" x14ac:dyDescent="0.25">
      <c r="A2704" s="66" t="s">
        <v>3997</v>
      </c>
      <c r="B2704" s="72" t="s">
        <v>55</v>
      </c>
      <c r="C2704" s="72" t="s">
        <v>3980</v>
      </c>
      <c r="D2704" s="174" t="s">
        <v>3981</v>
      </c>
      <c r="E2704" s="174"/>
      <c r="F2704" s="72" t="s">
        <v>203</v>
      </c>
      <c r="G2704" s="90">
        <v>67</v>
      </c>
      <c r="H2704" s="91"/>
      <c r="I2704" s="92" t="s">
        <v>63</v>
      </c>
      <c r="J2704" s="90">
        <f t="shared" si="709"/>
        <v>0</v>
      </c>
      <c r="K2704" s="90">
        <f t="shared" si="710"/>
        <v>0</v>
      </c>
      <c r="L2704" s="90">
        <f t="shared" si="711"/>
        <v>0</v>
      </c>
      <c r="M2704" s="90">
        <f t="shared" si="712"/>
        <v>0</v>
      </c>
      <c r="N2704" s="90">
        <v>0</v>
      </c>
      <c r="O2704" s="90">
        <f t="shared" si="713"/>
        <v>0</v>
      </c>
      <c r="P2704" s="92" t="s">
        <v>1647</v>
      </c>
      <c r="Z2704" s="93">
        <f t="shared" si="714"/>
        <v>0</v>
      </c>
      <c r="AB2704" s="93">
        <f t="shared" si="715"/>
        <v>0</v>
      </c>
      <c r="AC2704" s="93">
        <f t="shared" si="716"/>
        <v>0</v>
      </c>
      <c r="AD2704" s="93">
        <f t="shared" si="717"/>
        <v>0</v>
      </c>
      <c r="AE2704" s="93">
        <f t="shared" si="718"/>
        <v>0</v>
      </c>
      <c r="AF2704" s="93">
        <f t="shared" si="719"/>
        <v>0</v>
      </c>
      <c r="AG2704" s="93">
        <f t="shared" si="720"/>
        <v>0</v>
      </c>
      <c r="AH2704" s="93">
        <f t="shared" si="721"/>
        <v>0</v>
      </c>
      <c r="AI2704" s="88" t="s">
        <v>55</v>
      </c>
      <c r="AJ2704" s="93">
        <f t="shared" si="722"/>
        <v>0</v>
      </c>
      <c r="AK2704" s="93">
        <f t="shared" si="723"/>
        <v>0</v>
      </c>
      <c r="AL2704" s="93">
        <f t="shared" si="724"/>
        <v>0</v>
      </c>
      <c r="AN2704" s="93">
        <v>21</v>
      </c>
      <c r="AO2704" s="93">
        <f t="shared" si="725"/>
        <v>0</v>
      </c>
      <c r="AP2704" s="93">
        <f t="shared" si="726"/>
        <v>0</v>
      </c>
      <c r="AQ2704" s="94" t="s">
        <v>118</v>
      </c>
      <c r="AV2704" s="93">
        <f t="shared" si="727"/>
        <v>0</v>
      </c>
      <c r="AW2704" s="93">
        <f t="shared" si="728"/>
        <v>0</v>
      </c>
      <c r="AX2704" s="93">
        <f t="shared" si="729"/>
        <v>0</v>
      </c>
      <c r="AY2704" s="94" t="s">
        <v>3494</v>
      </c>
      <c r="AZ2704" s="94" t="s">
        <v>3495</v>
      </c>
      <c r="BA2704" s="88" t="s">
        <v>67</v>
      </c>
      <c r="BC2704" s="93">
        <f t="shared" si="730"/>
        <v>0</v>
      </c>
      <c r="BD2704" s="93">
        <f t="shared" si="731"/>
        <v>0</v>
      </c>
      <c r="BE2704" s="93">
        <v>0</v>
      </c>
      <c r="BF2704" s="93">
        <f t="shared" si="732"/>
        <v>0</v>
      </c>
      <c r="BH2704" s="93">
        <f t="shared" si="733"/>
        <v>0</v>
      </c>
      <c r="BI2704" s="93">
        <f t="shared" si="734"/>
        <v>0</v>
      </c>
      <c r="BJ2704" s="93">
        <f t="shared" si="735"/>
        <v>0</v>
      </c>
      <c r="BK2704" s="93"/>
      <c r="BL2704" s="93"/>
      <c r="BW2704" s="93" t="str">
        <f t="shared" si="736"/>
        <v>21</v>
      </c>
      <c r="BX2704" s="2" t="s">
        <v>3981</v>
      </c>
    </row>
    <row r="2705" spans="1:76" s="81" customFormat="1" ht="25.5" x14ac:dyDescent="0.25">
      <c r="A2705" s="66" t="s">
        <v>4001</v>
      </c>
      <c r="B2705" s="72" t="s">
        <v>55</v>
      </c>
      <c r="C2705" s="72" t="s">
        <v>3983</v>
      </c>
      <c r="D2705" s="174" t="s">
        <v>3984</v>
      </c>
      <c r="E2705" s="174"/>
      <c r="F2705" s="72" t="s">
        <v>3596</v>
      </c>
      <c r="G2705" s="90">
        <v>12</v>
      </c>
      <c r="H2705" s="91"/>
      <c r="I2705" s="92" t="s">
        <v>63</v>
      </c>
      <c r="J2705" s="90">
        <f t="shared" si="709"/>
        <v>0</v>
      </c>
      <c r="K2705" s="90">
        <f t="shared" si="710"/>
        <v>0</v>
      </c>
      <c r="L2705" s="90">
        <f t="shared" si="711"/>
        <v>0</v>
      </c>
      <c r="M2705" s="90">
        <f t="shared" si="712"/>
        <v>0</v>
      </c>
      <c r="N2705" s="90">
        <v>0</v>
      </c>
      <c r="O2705" s="90">
        <f t="shared" si="713"/>
        <v>0</v>
      </c>
      <c r="P2705" s="92" t="s">
        <v>1647</v>
      </c>
      <c r="Z2705" s="93">
        <f t="shared" si="714"/>
        <v>0</v>
      </c>
      <c r="AB2705" s="93">
        <f t="shared" si="715"/>
        <v>0</v>
      </c>
      <c r="AC2705" s="93">
        <f t="shared" si="716"/>
        <v>0</v>
      </c>
      <c r="AD2705" s="93">
        <f t="shared" si="717"/>
        <v>0</v>
      </c>
      <c r="AE2705" s="93">
        <f t="shared" si="718"/>
        <v>0</v>
      </c>
      <c r="AF2705" s="93">
        <f t="shared" si="719"/>
        <v>0</v>
      </c>
      <c r="AG2705" s="93">
        <f t="shared" si="720"/>
        <v>0</v>
      </c>
      <c r="AH2705" s="93">
        <f t="shared" si="721"/>
        <v>0</v>
      </c>
      <c r="AI2705" s="88" t="s">
        <v>55</v>
      </c>
      <c r="AJ2705" s="93">
        <f t="shared" si="722"/>
        <v>0</v>
      </c>
      <c r="AK2705" s="93">
        <f t="shared" si="723"/>
        <v>0</v>
      </c>
      <c r="AL2705" s="93">
        <f t="shared" si="724"/>
        <v>0</v>
      </c>
      <c r="AN2705" s="93">
        <v>21</v>
      </c>
      <c r="AO2705" s="93">
        <f t="shared" si="725"/>
        <v>0</v>
      </c>
      <c r="AP2705" s="93">
        <f t="shared" si="726"/>
        <v>0</v>
      </c>
      <c r="AQ2705" s="94" t="s">
        <v>118</v>
      </c>
      <c r="AV2705" s="93">
        <f t="shared" si="727"/>
        <v>0</v>
      </c>
      <c r="AW2705" s="93">
        <f t="shared" si="728"/>
        <v>0</v>
      </c>
      <c r="AX2705" s="93">
        <f t="shared" si="729"/>
        <v>0</v>
      </c>
      <c r="AY2705" s="94" t="s">
        <v>3494</v>
      </c>
      <c r="AZ2705" s="94" t="s">
        <v>3495</v>
      </c>
      <c r="BA2705" s="88" t="s">
        <v>67</v>
      </c>
      <c r="BC2705" s="93">
        <f t="shared" si="730"/>
        <v>0</v>
      </c>
      <c r="BD2705" s="93">
        <f t="shared" si="731"/>
        <v>0</v>
      </c>
      <c r="BE2705" s="93">
        <v>0</v>
      </c>
      <c r="BF2705" s="93">
        <f t="shared" si="732"/>
        <v>0</v>
      </c>
      <c r="BH2705" s="93">
        <f t="shared" si="733"/>
        <v>0</v>
      </c>
      <c r="BI2705" s="93">
        <f t="shared" si="734"/>
        <v>0</v>
      </c>
      <c r="BJ2705" s="93">
        <f t="shared" si="735"/>
        <v>0</v>
      </c>
      <c r="BK2705" s="93"/>
      <c r="BL2705" s="93"/>
      <c r="BW2705" s="93" t="str">
        <f t="shared" si="736"/>
        <v>21</v>
      </c>
      <c r="BX2705" s="2" t="s">
        <v>3984</v>
      </c>
    </row>
    <row r="2706" spans="1:76" s="81" customFormat="1" ht="25.5" x14ac:dyDescent="0.25">
      <c r="A2706" s="66" t="s">
        <v>4004</v>
      </c>
      <c r="B2706" s="72" t="s">
        <v>55</v>
      </c>
      <c r="C2706" s="72" t="s">
        <v>3986</v>
      </c>
      <c r="D2706" s="174" t="s">
        <v>3987</v>
      </c>
      <c r="E2706" s="174"/>
      <c r="F2706" s="72" t="s">
        <v>1332</v>
      </c>
      <c r="G2706" s="90">
        <v>1</v>
      </c>
      <c r="H2706" s="91"/>
      <c r="I2706" s="92" t="s">
        <v>63</v>
      </c>
      <c r="J2706" s="90">
        <f t="shared" si="709"/>
        <v>0</v>
      </c>
      <c r="K2706" s="90">
        <f t="shared" si="710"/>
        <v>0</v>
      </c>
      <c r="L2706" s="90">
        <f t="shared" si="711"/>
        <v>0</v>
      </c>
      <c r="M2706" s="90">
        <f t="shared" si="712"/>
        <v>0</v>
      </c>
      <c r="N2706" s="90">
        <v>0</v>
      </c>
      <c r="O2706" s="90">
        <f t="shared" si="713"/>
        <v>0</v>
      </c>
      <c r="P2706" s="92" t="s">
        <v>1647</v>
      </c>
      <c r="Z2706" s="93">
        <f t="shared" si="714"/>
        <v>0</v>
      </c>
      <c r="AB2706" s="93">
        <f t="shared" si="715"/>
        <v>0</v>
      </c>
      <c r="AC2706" s="93">
        <f t="shared" si="716"/>
        <v>0</v>
      </c>
      <c r="AD2706" s="93">
        <f t="shared" si="717"/>
        <v>0</v>
      </c>
      <c r="AE2706" s="93">
        <f t="shared" si="718"/>
        <v>0</v>
      </c>
      <c r="AF2706" s="93">
        <f t="shared" si="719"/>
        <v>0</v>
      </c>
      <c r="AG2706" s="93">
        <f t="shared" si="720"/>
        <v>0</v>
      </c>
      <c r="AH2706" s="93">
        <f t="shared" si="721"/>
        <v>0</v>
      </c>
      <c r="AI2706" s="88" t="s">
        <v>55</v>
      </c>
      <c r="AJ2706" s="93">
        <f t="shared" si="722"/>
        <v>0</v>
      </c>
      <c r="AK2706" s="93">
        <f t="shared" si="723"/>
        <v>0</v>
      </c>
      <c r="AL2706" s="93">
        <f t="shared" si="724"/>
        <v>0</v>
      </c>
      <c r="AN2706" s="93">
        <v>21</v>
      </c>
      <c r="AO2706" s="93">
        <f t="shared" si="725"/>
        <v>0</v>
      </c>
      <c r="AP2706" s="93">
        <f t="shared" si="726"/>
        <v>0</v>
      </c>
      <c r="AQ2706" s="94" t="s">
        <v>118</v>
      </c>
      <c r="AV2706" s="93">
        <f t="shared" si="727"/>
        <v>0</v>
      </c>
      <c r="AW2706" s="93">
        <f t="shared" si="728"/>
        <v>0</v>
      </c>
      <c r="AX2706" s="93">
        <f t="shared" si="729"/>
        <v>0</v>
      </c>
      <c r="AY2706" s="94" t="s">
        <v>3494</v>
      </c>
      <c r="AZ2706" s="94" t="s">
        <v>3495</v>
      </c>
      <c r="BA2706" s="88" t="s">
        <v>67</v>
      </c>
      <c r="BC2706" s="93">
        <f t="shared" si="730"/>
        <v>0</v>
      </c>
      <c r="BD2706" s="93">
        <f t="shared" si="731"/>
        <v>0</v>
      </c>
      <c r="BE2706" s="93">
        <v>0</v>
      </c>
      <c r="BF2706" s="93">
        <f t="shared" si="732"/>
        <v>0</v>
      </c>
      <c r="BH2706" s="93">
        <f t="shared" si="733"/>
        <v>0</v>
      </c>
      <c r="BI2706" s="93">
        <f t="shared" si="734"/>
        <v>0</v>
      </c>
      <c r="BJ2706" s="93">
        <f t="shared" si="735"/>
        <v>0</v>
      </c>
      <c r="BK2706" s="93"/>
      <c r="BL2706" s="93"/>
      <c r="BW2706" s="93" t="str">
        <f t="shared" si="736"/>
        <v>21</v>
      </c>
      <c r="BX2706" s="2" t="s">
        <v>3987</v>
      </c>
    </row>
    <row r="2707" spans="1:76" s="81" customFormat="1" ht="25.5" x14ac:dyDescent="0.25">
      <c r="A2707" s="66" t="s">
        <v>4007</v>
      </c>
      <c r="B2707" s="72" t="s">
        <v>55</v>
      </c>
      <c r="C2707" s="72" t="s">
        <v>3989</v>
      </c>
      <c r="D2707" s="174" t="s">
        <v>3990</v>
      </c>
      <c r="E2707" s="174"/>
      <c r="F2707" s="72" t="s">
        <v>203</v>
      </c>
      <c r="G2707" s="90">
        <v>67</v>
      </c>
      <c r="H2707" s="91"/>
      <c r="I2707" s="92" t="s">
        <v>63</v>
      </c>
      <c r="J2707" s="90">
        <f t="shared" si="709"/>
        <v>0</v>
      </c>
      <c r="K2707" s="90">
        <f t="shared" si="710"/>
        <v>0</v>
      </c>
      <c r="L2707" s="90">
        <f t="shared" si="711"/>
        <v>0</v>
      </c>
      <c r="M2707" s="90">
        <f t="shared" si="712"/>
        <v>0</v>
      </c>
      <c r="N2707" s="90">
        <v>0</v>
      </c>
      <c r="O2707" s="90">
        <f t="shared" si="713"/>
        <v>0</v>
      </c>
      <c r="P2707" s="92" t="s">
        <v>1647</v>
      </c>
      <c r="Z2707" s="93">
        <f t="shared" si="714"/>
        <v>0</v>
      </c>
      <c r="AB2707" s="93">
        <f t="shared" si="715"/>
        <v>0</v>
      </c>
      <c r="AC2707" s="93">
        <f t="shared" si="716"/>
        <v>0</v>
      </c>
      <c r="AD2707" s="93">
        <f t="shared" si="717"/>
        <v>0</v>
      </c>
      <c r="AE2707" s="93">
        <f t="shared" si="718"/>
        <v>0</v>
      </c>
      <c r="AF2707" s="93">
        <f t="shared" si="719"/>
        <v>0</v>
      </c>
      <c r="AG2707" s="93">
        <f t="shared" si="720"/>
        <v>0</v>
      </c>
      <c r="AH2707" s="93">
        <f t="shared" si="721"/>
        <v>0</v>
      </c>
      <c r="AI2707" s="88" t="s">
        <v>55</v>
      </c>
      <c r="AJ2707" s="93">
        <f t="shared" si="722"/>
        <v>0</v>
      </c>
      <c r="AK2707" s="93">
        <f t="shared" si="723"/>
        <v>0</v>
      </c>
      <c r="AL2707" s="93">
        <f t="shared" si="724"/>
        <v>0</v>
      </c>
      <c r="AN2707" s="93">
        <v>21</v>
      </c>
      <c r="AO2707" s="93">
        <f t="shared" si="725"/>
        <v>0</v>
      </c>
      <c r="AP2707" s="93">
        <f t="shared" si="726"/>
        <v>0</v>
      </c>
      <c r="AQ2707" s="94" t="s">
        <v>118</v>
      </c>
      <c r="AV2707" s="93">
        <f t="shared" si="727"/>
        <v>0</v>
      </c>
      <c r="AW2707" s="93">
        <f t="shared" si="728"/>
        <v>0</v>
      </c>
      <c r="AX2707" s="93">
        <f t="shared" si="729"/>
        <v>0</v>
      </c>
      <c r="AY2707" s="94" t="s">
        <v>3494</v>
      </c>
      <c r="AZ2707" s="94" t="s">
        <v>3495</v>
      </c>
      <c r="BA2707" s="88" t="s">
        <v>67</v>
      </c>
      <c r="BC2707" s="93">
        <f t="shared" si="730"/>
        <v>0</v>
      </c>
      <c r="BD2707" s="93">
        <f t="shared" si="731"/>
        <v>0</v>
      </c>
      <c r="BE2707" s="93">
        <v>0</v>
      </c>
      <c r="BF2707" s="93">
        <f t="shared" si="732"/>
        <v>0</v>
      </c>
      <c r="BH2707" s="93">
        <f t="shared" si="733"/>
        <v>0</v>
      </c>
      <c r="BI2707" s="93">
        <f t="shared" si="734"/>
        <v>0</v>
      </c>
      <c r="BJ2707" s="93">
        <f t="shared" si="735"/>
        <v>0</v>
      </c>
      <c r="BK2707" s="93"/>
      <c r="BL2707" s="93"/>
      <c r="BW2707" s="93" t="str">
        <f t="shared" si="736"/>
        <v>21</v>
      </c>
      <c r="BX2707" s="2" t="s">
        <v>3990</v>
      </c>
    </row>
    <row r="2708" spans="1:76" s="81" customFormat="1" ht="25.5" x14ac:dyDescent="0.25">
      <c r="A2708" s="66" t="s">
        <v>4010</v>
      </c>
      <c r="B2708" s="72" t="s">
        <v>55</v>
      </c>
      <c r="C2708" s="72" t="s">
        <v>3992</v>
      </c>
      <c r="D2708" s="174" t="s">
        <v>3993</v>
      </c>
      <c r="E2708" s="174"/>
      <c r="F2708" s="72" t="s">
        <v>203</v>
      </c>
      <c r="G2708" s="90">
        <v>1</v>
      </c>
      <c r="H2708" s="91"/>
      <c r="I2708" s="92" t="s">
        <v>63</v>
      </c>
      <c r="J2708" s="90">
        <f t="shared" si="709"/>
        <v>0</v>
      </c>
      <c r="K2708" s="90">
        <f t="shared" si="710"/>
        <v>0</v>
      </c>
      <c r="L2708" s="90">
        <f t="shared" si="711"/>
        <v>0</v>
      </c>
      <c r="M2708" s="90">
        <f t="shared" si="712"/>
        <v>0</v>
      </c>
      <c r="N2708" s="90">
        <v>0</v>
      </c>
      <c r="O2708" s="90">
        <f t="shared" si="713"/>
        <v>0</v>
      </c>
      <c r="P2708" s="92" t="s">
        <v>1647</v>
      </c>
      <c r="Z2708" s="93">
        <f t="shared" si="714"/>
        <v>0</v>
      </c>
      <c r="AB2708" s="93">
        <f t="shared" si="715"/>
        <v>0</v>
      </c>
      <c r="AC2708" s="93">
        <f t="shared" si="716"/>
        <v>0</v>
      </c>
      <c r="AD2708" s="93">
        <f t="shared" si="717"/>
        <v>0</v>
      </c>
      <c r="AE2708" s="93">
        <f t="shared" si="718"/>
        <v>0</v>
      </c>
      <c r="AF2708" s="93">
        <f t="shared" si="719"/>
        <v>0</v>
      </c>
      <c r="AG2708" s="93">
        <f t="shared" si="720"/>
        <v>0</v>
      </c>
      <c r="AH2708" s="93">
        <f t="shared" si="721"/>
        <v>0</v>
      </c>
      <c r="AI2708" s="88" t="s">
        <v>55</v>
      </c>
      <c r="AJ2708" s="93">
        <f t="shared" si="722"/>
        <v>0</v>
      </c>
      <c r="AK2708" s="93">
        <f t="shared" si="723"/>
        <v>0</v>
      </c>
      <c r="AL2708" s="93">
        <f t="shared" si="724"/>
        <v>0</v>
      </c>
      <c r="AN2708" s="93">
        <v>21</v>
      </c>
      <c r="AO2708" s="93">
        <f t="shared" si="725"/>
        <v>0</v>
      </c>
      <c r="AP2708" s="93">
        <f t="shared" si="726"/>
        <v>0</v>
      </c>
      <c r="AQ2708" s="94" t="s">
        <v>118</v>
      </c>
      <c r="AV2708" s="93">
        <f t="shared" si="727"/>
        <v>0</v>
      </c>
      <c r="AW2708" s="93">
        <f t="shared" si="728"/>
        <v>0</v>
      </c>
      <c r="AX2708" s="93">
        <f t="shared" si="729"/>
        <v>0</v>
      </c>
      <c r="AY2708" s="94" t="s">
        <v>3494</v>
      </c>
      <c r="AZ2708" s="94" t="s">
        <v>3495</v>
      </c>
      <c r="BA2708" s="88" t="s">
        <v>67</v>
      </c>
      <c r="BC2708" s="93">
        <f t="shared" si="730"/>
        <v>0</v>
      </c>
      <c r="BD2708" s="93">
        <f t="shared" si="731"/>
        <v>0</v>
      </c>
      <c r="BE2708" s="93">
        <v>0</v>
      </c>
      <c r="BF2708" s="93">
        <f t="shared" si="732"/>
        <v>0</v>
      </c>
      <c r="BH2708" s="93">
        <f t="shared" si="733"/>
        <v>0</v>
      </c>
      <c r="BI2708" s="93">
        <f t="shared" si="734"/>
        <v>0</v>
      </c>
      <c r="BJ2708" s="93">
        <f t="shared" si="735"/>
        <v>0</v>
      </c>
      <c r="BK2708" s="93"/>
      <c r="BL2708" s="93"/>
      <c r="BW2708" s="93" t="str">
        <f t="shared" si="736"/>
        <v>21</v>
      </c>
      <c r="BX2708" s="2" t="s">
        <v>3993</v>
      </c>
    </row>
    <row r="2709" spans="1:76" s="81" customFormat="1" ht="25.5" x14ac:dyDescent="0.25">
      <c r="A2709" s="66" t="s">
        <v>4013</v>
      </c>
      <c r="B2709" s="72" t="s">
        <v>55</v>
      </c>
      <c r="C2709" s="72" t="s">
        <v>3995</v>
      </c>
      <c r="D2709" s="174" t="s">
        <v>3996</v>
      </c>
      <c r="E2709" s="174"/>
      <c r="F2709" s="72" t="s">
        <v>192</v>
      </c>
      <c r="G2709" s="90">
        <v>200</v>
      </c>
      <c r="H2709" s="91"/>
      <c r="I2709" s="92" t="s">
        <v>63</v>
      </c>
      <c r="J2709" s="90">
        <f t="shared" si="709"/>
        <v>0</v>
      </c>
      <c r="K2709" s="90">
        <f t="shared" si="710"/>
        <v>0</v>
      </c>
      <c r="L2709" s="90">
        <f t="shared" si="711"/>
        <v>0</v>
      </c>
      <c r="M2709" s="90">
        <f t="shared" si="712"/>
        <v>0</v>
      </c>
      <c r="N2709" s="90">
        <v>0</v>
      </c>
      <c r="O2709" s="90">
        <f t="shared" si="713"/>
        <v>0</v>
      </c>
      <c r="P2709" s="92" t="s">
        <v>1647</v>
      </c>
      <c r="Z2709" s="93">
        <f t="shared" si="714"/>
        <v>0</v>
      </c>
      <c r="AB2709" s="93">
        <f t="shared" si="715"/>
        <v>0</v>
      </c>
      <c r="AC2709" s="93">
        <f t="shared" si="716"/>
        <v>0</v>
      </c>
      <c r="AD2709" s="93">
        <f t="shared" si="717"/>
        <v>0</v>
      </c>
      <c r="AE2709" s="93">
        <f t="shared" si="718"/>
        <v>0</v>
      </c>
      <c r="AF2709" s="93">
        <f t="shared" si="719"/>
        <v>0</v>
      </c>
      <c r="AG2709" s="93">
        <f t="shared" si="720"/>
        <v>0</v>
      </c>
      <c r="AH2709" s="93">
        <f t="shared" si="721"/>
        <v>0</v>
      </c>
      <c r="AI2709" s="88" t="s">
        <v>55</v>
      </c>
      <c r="AJ2709" s="93">
        <f t="shared" si="722"/>
        <v>0</v>
      </c>
      <c r="AK2709" s="93">
        <f t="shared" si="723"/>
        <v>0</v>
      </c>
      <c r="AL2709" s="93">
        <f t="shared" si="724"/>
        <v>0</v>
      </c>
      <c r="AN2709" s="93">
        <v>21</v>
      </c>
      <c r="AO2709" s="93">
        <f t="shared" si="725"/>
        <v>0</v>
      </c>
      <c r="AP2709" s="93">
        <f t="shared" si="726"/>
        <v>0</v>
      </c>
      <c r="AQ2709" s="94" t="s">
        <v>118</v>
      </c>
      <c r="AV2709" s="93">
        <f t="shared" si="727"/>
        <v>0</v>
      </c>
      <c r="AW2709" s="93">
        <f t="shared" si="728"/>
        <v>0</v>
      </c>
      <c r="AX2709" s="93">
        <f t="shared" si="729"/>
        <v>0</v>
      </c>
      <c r="AY2709" s="94" t="s">
        <v>3494</v>
      </c>
      <c r="AZ2709" s="94" t="s">
        <v>3495</v>
      </c>
      <c r="BA2709" s="88" t="s">
        <v>67</v>
      </c>
      <c r="BC2709" s="93">
        <f t="shared" si="730"/>
        <v>0</v>
      </c>
      <c r="BD2709" s="93">
        <f t="shared" si="731"/>
        <v>0</v>
      </c>
      <c r="BE2709" s="93">
        <v>0</v>
      </c>
      <c r="BF2709" s="93">
        <f t="shared" si="732"/>
        <v>0</v>
      </c>
      <c r="BH2709" s="93">
        <f t="shared" si="733"/>
        <v>0</v>
      </c>
      <c r="BI2709" s="93">
        <f t="shared" si="734"/>
        <v>0</v>
      </c>
      <c r="BJ2709" s="93">
        <f t="shared" si="735"/>
        <v>0</v>
      </c>
      <c r="BK2709" s="93"/>
      <c r="BL2709" s="93"/>
      <c r="BW2709" s="93" t="str">
        <f t="shared" si="736"/>
        <v>21</v>
      </c>
      <c r="BX2709" s="2" t="s">
        <v>3996</v>
      </c>
    </row>
    <row r="2710" spans="1:76" s="81" customFormat="1" ht="25.5" x14ac:dyDescent="0.25">
      <c r="A2710" s="66" t="s">
        <v>4016</v>
      </c>
      <c r="B2710" s="72" t="s">
        <v>55</v>
      </c>
      <c r="C2710" s="72" t="s">
        <v>3998</v>
      </c>
      <c r="D2710" s="174" t="s">
        <v>3999</v>
      </c>
      <c r="E2710" s="174"/>
      <c r="F2710" s="72" t="s">
        <v>4000</v>
      </c>
      <c r="G2710" s="90">
        <v>1</v>
      </c>
      <c r="H2710" s="91"/>
      <c r="I2710" s="92" t="s">
        <v>63</v>
      </c>
      <c r="J2710" s="90">
        <f t="shared" si="709"/>
        <v>0</v>
      </c>
      <c r="K2710" s="90">
        <f t="shared" si="710"/>
        <v>0</v>
      </c>
      <c r="L2710" s="90">
        <f t="shared" si="711"/>
        <v>0</v>
      </c>
      <c r="M2710" s="90">
        <f t="shared" si="712"/>
        <v>0</v>
      </c>
      <c r="N2710" s="90">
        <v>0</v>
      </c>
      <c r="O2710" s="90">
        <f t="shared" si="713"/>
        <v>0</v>
      </c>
      <c r="P2710" s="92" t="s">
        <v>1647</v>
      </c>
      <c r="Z2710" s="93">
        <f t="shared" si="714"/>
        <v>0</v>
      </c>
      <c r="AB2710" s="93">
        <f t="shared" si="715"/>
        <v>0</v>
      </c>
      <c r="AC2710" s="93">
        <f t="shared" si="716"/>
        <v>0</v>
      </c>
      <c r="AD2710" s="93">
        <f t="shared" si="717"/>
        <v>0</v>
      </c>
      <c r="AE2710" s="93">
        <f t="shared" si="718"/>
        <v>0</v>
      </c>
      <c r="AF2710" s="93">
        <f t="shared" si="719"/>
        <v>0</v>
      </c>
      <c r="AG2710" s="93">
        <f t="shared" si="720"/>
        <v>0</v>
      </c>
      <c r="AH2710" s="93">
        <f t="shared" si="721"/>
        <v>0</v>
      </c>
      <c r="AI2710" s="88" t="s">
        <v>55</v>
      </c>
      <c r="AJ2710" s="93">
        <f t="shared" si="722"/>
        <v>0</v>
      </c>
      <c r="AK2710" s="93">
        <f t="shared" si="723"/>
        <v>0</v>
      </c>
      <c r="AL2710" s="93">
        <f t="shared" si="724"/>
        <v>0</v>
      </c>
      <c r="AN2710" s="93">
        <v>21</v>
      </c>
      <c r="AO2710" s="93">
        <f t="shared" si="725"/>
        <v>0</v>
      </c>
      <c r="AP2710" s="93">
        <f t="shared" si="726"/>
        <v>0</v>
      </c>
      <c r="AQ2710" s="94" t="s">
        <v>118</v>
      </c>
      <c r="AV2710" s="93">
        <f t="shared" si="727"/>
        <v>0</v>
      </c>
      <c r="AW2710" s="93">
        <f t="shared" si="728"/>
        <v>0</v>
      </c>
      <c r="AX2710" s="93">
        <f t="shared" si="729"/>
        <v>0</v>
      </c>
      <c r="AY2710" s="94" t="s">
        <v>3494</v>
      </c>
      <c r="AZ2710" s="94" t="s">
        <v>3495</v>
      </c>
      <c r="BA2710" s="88" t="s">
        <v>67</v>
      </c>
      <c r="BC2710" s="93">
        <f t="shared" si="730"/>
        <v>0</v>
      </c>
      <c r="BD2710" s="93">
        <f t="shared" si="731"/>
        <v>0</v>
      </c>
      <c r="BE2710" s="93">
        <v>0</v>
      </c>
      <c r="BF2710" s="93">
        <f t="shared" si="732"/>
        <v>0</v>
      </c>
      <c r="BH2710" s="93">
        <f t="shared" si="733"/>
        <v>0</v>
      </c>
      <c r="BI2710" s="93">
        <f t="shared" si="734"/>
        <v>0</v>
      </c>
      <c r="BJ2710" s="93">
        <f t="shared" si="735"/>
        <v>0</v>
      </c>
      <c r="BK2710" s="93"/>
      <c r="BL2710" s="93"/>
      <c r="BW2710" s="93" t="str">
        <f t="shared" si="736"/>
        <v>21</v>
      </c>
      <c r="BX2710" s="2" t="s">
        <v>3999</v>
      </c>
    </row>
    <row r="2711" spans="1:76" s="81" customFormat="1" ht="25.5" x14ac:dyDescent="0.25">
      <c r="A2711" s="66" t="s">
        <v>4020</v>
      </c>
      <c r="B2711" s="72" t="s">
        <v>55</v>
      </c>
      <c r="C2711" s="72" t="s">
        <v>4002</v>
      </c>
      <c r="D2711" s="174" t="s">
        <v>4003</v>
      </c>
      <c r="E2711" s="174"/>
      <c r="F2711" s="72" t="s">
        <v>203</v>
      </c>
      <c r="G2711" s="90">
        <v>1</v>
      </c>
      <c r="H2711" s="91"/>
      <c r="I2711" s="92" t="s">
        <v>63</v>
      </c>
      <c r="J2711" s="90">
        <f t="shared" si="709"/>
        <v>0</v>
      </c>
      <c r="K2711" s="90">
        <f t="shared" si="710"/>
        <v>0</v>
      </c>
      <c r="L2711" s="90">
        <f t="shared" si="711"/>
        <v>0</v>
      </c>
      <c r="M2711" s="90">
        <f t="shared" si="712"/>
        <v>0</v>
      </c>
      <c r="N2711" s="90">
        <v>0</v>
      </c>
      <c r="O2711" s="90">
        <f t="shared" si="713"/>
        <v>0</v>
      </c>
      <c r="P2711" s="92" t="s">
        <v>1647</v>
      </c>
      <c r="Z2711" s="93">
        <f t="shared" si="714"/>
        <v>0</v>
      </c>
      <c r="AB2711" s="93">
        <f t="shared" si="715"/>
        <v>0</v>
      </c>
      <c r="AC2711" s="93">
        <f t="shared" si="716"/>
        <v>0</v>
      </c>
      <c r="AD2711" s="93">
        <f t="shared" si="717"/>
        <v>0</v>
      </c>
      <c r="AE2711" s="93">
        <f t="shared" si="718"/>
        <v>0</v>
      </c>
      <c r="AF2711" s="93">
        <f t="shared" si="719"/>
        <v>0</v>
      </c>
      <c r="AG2711" s="93">
        <f t="shared" si="720"/>
        <v>0</v>
      </c>
      <c r="AH2711" s="93">
        <f t="shared" si="721"/>
        <v>0</v>
      </c>
      <c r="AI2711" s="88" t="s">
        <v>55</v>
      </c>
      <c r="AJ2711" s="93">
        <f t="shared" si="722"/>
        <v>0</v>
      </c>
      <c r="AK2711" s="93">
        <f t="shared" si="723"/>
        <v>0</v>
      </c>
      <c r="AL2711" s="93">
        <f t="shared" si="724"/>
        <v>0</v>
      </c>
      <c r="AN2711" s="93">
        <v>21</v>
      </c>
      <c r="AO2711" s="93">
        <f t="shared" si="725"/>
        <v>0</v>
      </c>
      <c r="AP2711" s="93">
        <f t="shared" si="726"/>
        <v>0</v>
      </c>
      <c r="AQ2711" s="94" t="s">
        <v>118</v>
      </c>
      <c r="AV2711" s="93">
        <f t="shared" si="727"/>
        <v>0</v>
      </c>
      <c r="AW2711" s="93">
        <f t="shared" si="728"/>
        <v>0</v>
      </c>
      <c r="AX2711" s="93">
        <f t="shared" si="729"/>
        <v>0</v>
      </c>
      <c r="AY2711" s="94" t="s">
        <v>3494</v>
      </c>
      <c r="AZ2711" s="94" t="s">
        <v>3495</v>
      </c>
      <c r="BA2711" s="88" t="s">
        <v>67</v>
      </c>
      <c r="BC2711" s="93">
        <f t="shared" si="730"/>
        <v>0</v>
      </c>
      <c r="BD2711" s="93">
        <f t="shared" si="731"/>
        <v>0</v>
      </c>
      <c r="BE2711" s="93">
        <v>0</v>
      </c>
      <c r="BF2711" s="93">
        <f t="shared" si="732"/>
        <v>0</v>
      </c>
      <c r="BH2711" s="93">
        <f t="shared" si="733"/>
        <v>0</v>
      </c>
      <c r="BI2711" s="93">
        <f t="shared" si="734"/>
        <v>0</v>
      </c>
      <c r="BJ2711" s="93">
        <f t="shared" si="735"/>
        <v>0</v>
      </c>
      <c r="BK2711" s="93"/>
      <c r="BL2711" s="93"/>
      <c r="BW2711" s="93" t="str">
        <f t="shared" si="736"/>
        <v>21</v>
      </c>
      <c r="BX2711" s="2" t="s">
        <v>4003</v>
      </c>
    </row>
    <row r="2712" spans="1:76" s="81" customFormat="1" ht="25.5" x14ac:dyDescent="0.25">
      <c r="A2712" s="66" t="s">
        <v>4027</v>
      </c>
      <c r="B2712" s="72" t="s">
        <v>55</v>
      </c>
      <c r="C2712" s="72" t="s">
        <v>4005</v>
      </c>
      <c r="D2712" s="174" t="s">
        <v>4006</v>
      </c>
      <c r="E2712" s="174"/>
      <c r="F2712" s="72" t="s">
        <v>203</v>
      </c>
      <c r="G2712" s="90">
        <v>1</v>
      </c>
      <c r="H2712" s="91"/>
      <c r="I2712" s="92" t="s">
        <v>63</v>
      </c>
      <c r="J2712" s="90">
        <f t="shared" si="709"/>
        <v>0</v>
      </c>
      <c r="K2712" s="90">
        <f t="shared" si="710"/>
        <v>0</v>
      </c>
      <c r="L2712" s="90">
        <f t="shared" si="711"/>
        <v>0</v>
      </c>
      <c r="M2712" s="90">
        <f t="shared" si="712"/>
        <v>0</v>
      </c>
      <c r="N2712" s="90">
        <v>0</v>
      </c>
      <c r="O2712" s="90">
        <f t="shared" si="713"/>
        <v>0</v>
      </c>
      <c r="P2712" s="92" t="s">
        <v>1647</v>
      </c>
      <c r="Z2712" s="93">
        <f t="shared" si="714"/>
        <v>0</v>
      </c>
      <c r="AB2712" s="93">
        <f t="shared" si="715"/>
        <v>0</v>
      </c>
      <c r="AC2712" s="93">
        <f t="shared" si="716"/>
        <v>0</v>
      </c>
      <c r="AD2712" s="93">
        <f t="shared" si="717"/>
        <v>0</v>
      </c>
      <c r="AE2712" s="93">
        <f t="shared" si="718"/>
        <v>0</v>
      </c>
      <c r="AF2712" s="93">
        <f t="shared" si="719"/>
        <v>0</v>
      </c>
      <c r="AG2712" s="93">
        <f t="shared" si="720"/>
        <v>0</v>
      </c>
      <c r="AH2712" s="93">
        <f t="shared" si="721"/>
        <v>0</v>
      </c>
      <c r="AI2712" s="88" t="s">
        <v>55</v>
      </c>
      <c r="AJ2712" s="93">
        <f t="shared" si="722"/>
        <v>0</v>
      </c>
      <c r="AK2712" s="93">
        <f t="shared" si="723"/>
        <v>0</v>
      </c>
      <c r="AL2712" s="93">
        <f t="shared" si="724"/>
        <v>0</v>
      </c>
      <c r="AN2712" s="93">
        <v>21</v>
      </c>
      <c r="AO2712" s="93">
        <f t="shared" si="725"/>
        <v>0</v>
      </c>
      <c r="AP2712" s="93">
        <f t="shared" si="726"/>
        <v>0</v>
      </c>
      <c r="AQ2712" s="94" t="s">
        <v>118</v>
      </c>
      <c r="AV2712" s="93">
        <f t="shared" si="727"/>
        <v>0</v>
      </c>
      <c r="AW2712" s="93">
        <f t="shared" si="728"/>
        <v>0</v>
      </c>
      <c r="AX2712" s="93">
        <f t="shared" si="729"/>
        <v>0</v>
      </c>
      <c r="AY2712" s="94" t="s">
        <v>3494</v>
      </c>
      <c r="AZ2712" s="94" t="s">
        <v>3495</v>
      </c>
      <c r="BA2712" s="88" t="s">
        <v>67</v>
      </c>
      <c r="BC2712" s="93">
        <f t="shared" si="730"/>
        <v>0</v>
      </c>
      <c r="BD2712" s="93">
        <f t="shared" si="731"/>
        <v>0</v>
      </c>
      <c r="BE2712" s="93">
        <v>0</v>
      </c>
      <c r="BF2712" s="93">
        <f t="shared" si="732"/>
        <v>0</v>
      </c>
      <c r="BH2712" s="93">
        <f t="shared" si="733"/>
        <v>0</v>
      </c>
      <c r="BI2712" s="93">
        <f t="shared" si="734"/>
        <v>0</v>
      </c>
      <c r="BJ2712" s="93">
        <f t="shared" si="735"/>
        <v>0</v>
      </c>
      <c r="BK2712" s="93"/>
      <c r="BL2712" s="93"/>
      <c r="BW2712" s="93" t="str">
        <f t="shared" si="736"/>
        <v>21</v>
      </c>
      <c r="BX2712" s="2" t="s">
        <v>4006</v>
      </c>
    </row>
    <row r="2713" spans="1:76" s="81" customFormat="1" ht="25.5" x14ac:dyDescent="0.25">
      <c r="A2713" s="66" t="s">
        <v>4029</v>
      </c>
      <c r="B2713" s="72" t="s">
        <v>55</v>
      </c>
      <c r="C2713" s="72" t="s">
        <v>4008</v>
      </c>
      <c r="D2713" s="174" t="s">
        <v>4009</v>
      </c>
      <c r="E2713" s="174"/>
      <c r="F2713" s="72" t="s">
        <v>1332</v>
      </c>
      <c r="G2713" s="90">
        <v>1</v>
      </c>
      <c r="H2713" s="91"/>
      <c r="I2713" s="92" t="s">
        <v>63</v>
      </c>
      <c r="J2713" s="90">
        <f t="shared" si="709"/>
        <v>0</v>
      </c>
      <c r="K2713" s="90">
        <f t="shared" si="710"/>
        <v>0</v>
      </c>
      <c r="L2713" s="90">
        <f t="shared" si="711"/>
        <v>0</v>
      </c>
      <c r="M2713" s="90">
        <f t="shared" si="712"/>
        <v>0</v>
      </c>
      <c r="N2713" s="90">
        <v>0</v>
      </c>
      <c r="O2713" s="90">
        <f t="shared" si="713"/>
        <v>0</v>
      </c>
      <c r="P2713" s="92" t="s">
        <v>1647</v>
      </c>
      <c r="Z2713" s="93">
        <f t="shared" si="714"/>
        <v>0</v>
      </c>
      <c r="AB2713" s="93">
        <f t="shared" si="715"/>
        <v>0</v>
      </c>
      <c r="AC2713" s="93">
        <f t="shared" si="716"/>
        <v>0</v>
      </c>
      <c r="AD2713" s="93">
        <f t="shared" si="717"/>
        <v>0</v>
      </c>
      <c r="AE2713" s="93">
        <f t="shared" si="718"/>
        <v>0</v>
      </c>
      <c r="AF2713" s="93">
        <f t="shared" si="719"/>
        <v>0</v>
      </c>
      <c r="AG2713" s="93">
        <f t="shared" si="720"/>
        <v>0</v>
      </c>
      <c r="AH2713" s="93">
        <f t="shared" si="721"/>
        <v>0</v>
      </c>
      <c r="AI2713" s="88" t="s">
        <v>55</v>
      </c>
      <c r="AJ2713" s="93">
        <f t="shared" si="722"/>
        <v>0</v>
      </c>
      <c r="AK2713" s="93">
        <f t="shared" si="723"/>
        <v>0</v>
      </c>
      <c r="AL2713" s="93">
        <f t="shared" si="724"/>
        <v>0</v>
      </c>
      <c r="AN2713" s="93">
        <v>21</v>
      </c>
      <c r="AO2713" s="93">
        <f t="shared" si="725"/>
        <v>0</v>
      </c>
      <c r="AP2713" s="93">
        <f t="shared" si="726"/>
        <v>0</v>
      </c>
      <c r="AQ2713" s="94" t="s">
        <v>118</v>
      </c>
      <c r="AV2713" s="93">
        <f t="shared" si="727"/>
        <v>0</v>
      </c>
      <c r="AW2713" s="93">
        <f t="shared" si="728"/>
        <v>0</v>
      </c>
      <c r="AX2713" s="93">
        <f t="shared" si="729"/>
        <v>0</v>
      </c>
      <c r="AY2713" s="94" t="s">
        <v>3494</v>
      </c>
      <c r="AZ2713" s="94" t="s">
        <v>3495</v>
      </c>
      <c r="BA2713" s="88" t="s">
        <v>67</v>
      </c>
      <c r="BC2713" s="93">
        <f t="shared" si="730"/>
        <v>0</v>
      </c>
      <c r="BD2713" s="93">
        <f t="shared" si="731"/>
        <v>0</v>
      </c>
      <c r="BE2713" s="93">
        <v>0</v>
      </c>
      <c r="BF2713" s="93">
        <f t="shared" si="732"/>
        <v>0</v>
      </c>
      <c r="BH2713" s="93">
        <f t="shared" si="733"/>
        <v>0</v>
      </c>
      <c r="BI2713" s="93">
        <f t="shared" si="734"/>
        <v>0</v>
      </c>
      <c r="BJ2713" s="93">
        <f t="shared" si="735"/>
        <v>0</v>
      </c>
      <c r="BK2713" s="93"/>
      <c r="BL2713" s="93"/>
      <c r="BW2713" s="93" t="str">
        <f t="shared" si="736"/>
        <v>21</v>
      </c>
      <c r="BX2713" s="2" t="s">
        <v>4009</v>
      </c>
    </row>
    <row r="2714" spans="1:76" s="81" customFormat="1" ht="25.5" x14ac:dyDescent="0.25">
      <c r="A2714" s="66" t="s">
        <v>4030</v>
      </c>
      <c r="B2714" s="72" t="s">
        <v>55</v>
      </c>
      <c r="C2714" s="72" t="s">
        <v>4011</v>
      </c>
      <c r="D2714" s="174" t="s">
        <v>4012</v>
      </c>
      <c r="E2714" s="174"/>
      <c r="F2714" s="72" t="s">
        <v>3596</v>
      </c>
      <c r="G2714" s="90">
        <v>232</v>
      </c>
      <c r="H2714" s="91"/>
      <c r="I2714" s="92" t="s">
        <v>63</v>
      </c>
      <c r="J2714" s="90">
        <f t="shared" si="709"/>
        <v>0</v>
      </c>
      <c r="K2714" s="90">
        <f t="shared" si="710"/>
        <v>0</v>
      </c>
      <c r="L2714" s="90">
        <f t="shared" si="711"/>
        <v>0</v>
      </c>
      <c r="M2714" s="90">
        <f t="shared" si="712"/>
        <v>0</v>
      </c>
      <c r="N2714" s="90">
        <v>0</v>
      </c>
      <c r="O2714" s="90">
        <f t="shared" si="713"/>
        <v>0</v>
      </c>
      <c r="P2714" s="92" t="s">
        <v>1647</v>
      </c>
      <c r="Z2714" s="93">
        <f t="shared" si="714"/>
        <v>0</v>
      </c>
      <c r="AB2714" s="93">
        <f t="shared" si="715"/>
        <v>0</v>
      </c>
      <c r="AC2714" s="93">
        <f t="shared" si="716"/>
        <v>0</v>
      </c>
      <c r="AD2714" s="93">
        <f t="shared" si="717"/>
        <v>0</v>
      </c>
      <c r="AE2714" s="93">
        <f t="shared" si="718"/>
        <v>0</v>
      </c>
      <c r="AF2714" s="93">
        <f t="shared" si="719"/>
        <v>0</v>
      </c>
      <c r="AG2714" s="93">
        <f t="shared" si="720"/>
        <v>0</v>
      </c>
      <c r="AH2714" s="93">
        <f t="shared" si="721"/>
        <v>0</v>
      </c>
      <c r="AI2714" s="88" t="s">
        <v>55</v>
      </c>
      <c r="AJ2714" s="93">
        <f t="shared" si="722"/>
        <v>0</v>
      </c>
      <c r="AK2714" s="93">
        <f t="shared" si="723"/>
        <v>0</v>
      </c>
      <c r="AL2714" s="93">
        <f t="shared" si="724"/>
        <v>0</v>
      </c>
      <c r="AN2714" s="93">
        <v>21</v>
      </c>
      <c r="AO2714" s="93">
        <f t="shared" si="725"/>
        <v>0</v>
      </c>
      <c r="AP2714" s="93">
        <f t="shared" si="726"/>
        <v>0</v>
      </c>
      <c r="AQ2714" s="94" t="s">
        <v>118</v>
      </c>
      <c r="AV2714" s="93">
        <f t="shared" si="727"/>
        <v>0</v>
      </c>
      <c r="AW2714" s="93">
        <f t="shared" si="728"/>
        <v>0</v>
      </c>
      <c r="AX2714" s="93">
        <f t="shared" si="729"/>
        <v>0</v>
      </c>
      <c r="AY2714" s="94" t="s">
        <v>3494</v>
      </c>
      <c r="AZ2714" s="94" t="s">
        <v>3495</v>
      </c>
      <c r="BA2714" s="88" t="s">
        <v>67</v>
      </c>
      <c r="BC2714" s="93">
        <f t="shared" si="730"/>
        <v>0</v>
      </c>
      <c r="BD2714" s="93">
        <f t="shared" si="731"/>
        <v>0</v>
      </c>
      <c r="BE2714" s="93">
        <v>0</v>
      </c>
      <c r="BF2714" s="93">
        <f t="shared" si="732"/>
        <v>0</v>
      </c>
      <c r="BH2714" s="93">
        <f t="shared" si="733"/>
        <v>0</v>
      </c>
      <c r="BI2714" s="93">
        <f t="shared" si="734"/>
        <v>0</v>
      </c>
      <c r="BJ2714" s="93">
        <f t="shared" si="735"/>
        <v>0</v>
      </c>
      <c r="BK2714" s="93"/>
      <c r="BL2714" s="93"/>
      <c r="BW2714" s="93" t="str">
        <f t="shared" si="736"/>
        <v>21</v>
      </c>
      <c r="BX2714" s="2" t="s">
        <v>4012</v>
      </c>
    </row>
    <row r="2715" spans="1:76" s="81" customFormat="1" ht="25.5" x14ac:dyDescent="0.25">
      <c r="A2715" s="66" t="s">
        <v>4032</v>
      </c>
      <c r="B2715" s="72" t="s">
        <v>55</v>
      </c>
      <c r="C2715" s="72" t="s">
        <v>4014</v>
      </c>
      <c r="D2715" s="174" t="s">
        <v>4015</v>
      </c>
      <c r="E2715" s="174"/>
      <c r="F2715" s="72" t="s">
        <v>1332</v>
      </c>
      <c r="G2715" s="90">
        <v>1</v>
      </c>
      <c r="H2715" s="91"/>
      <c r="I2715" s="92" t="s">
        <v>63</v>
      </c>
      <c r="J2715" s="90">
        <f t="shared" si="709"/>
        <v>0</v>
      </c>
      <c r="K2715" s="90">
        <f t="shared" si="710"/>
        <v>0</v>
      </c>
      <c r="L2715" s="90">
        <f t="shared" si="711"/>
        <v>0</v>
      </c>
      <c r="M2715" s="90">
        <f t="shared" si="712"/>
        <v>0</v>
      </c>
      <c r="N2715" s="90">
        <v>0</v>
      </c>
      <c r="O2715" s="90">
        <f t="shared" si="713"/>
        <v>0</v>
      </c>
      <c r="P2715" s="92" t="s">
        <v>1647</v>
      </c>
      <c r="Z2715" s="93">
        <f t="shared" si="714"/>
        <v>0</v>
      </c>
      <c r="AB2715" s="93">
        <f t="shared" si="715"/>
        <v>0</v>
      </c>
      <c r="AC2715" s="93">
        <f t="shared" si="716"/>
        <v>0</v>
      </c>
      <c r="AD2715" s="93">
        <f t="shared" si="717"/>
        <v>0</v>
      </c>
      <c r="AE2715" s="93">
        <f t="shared" si="718"/>
        <v>0</v>
      </c>
      <c r="AF2715" s="93">
        <f t="shared" si="719"/>
        <v>0</v>
      </c>
      <c r="AG2715" s="93">
        <f t="shared" si="720"/>
        <v>0</v>
      </c>
      <c r="AH2715" s="93">
        <f t="shared" si="721"/>
        <v>0</v>
      </c>
      <c r="AI2715" s="88" t="s">
        <v>55</v>
      </c>
      <c r="AJ2715" s="93">
        <f t="shared" si="722"/>
        <v>0</v>
      </c>
      <c r="AK2715" s="93">
        <f t="shared" si="723"/>
        <v>0</v>
      </c>
      <c r="AL2715" s="93">
        <f t="shared" si="724"/>
        <v>0</v>
      </c>
      <c r="AN2715" s="93">
        <v>21</v>
      </c>
      <c r="AO2715" s="93">
        <f t="shared" si="725"/>
        <v>0</v>
      </c>
      <c r="AP2715" s="93">
        <f t="shared" si="726"/>
        <v>0</v>
      </c>
      <c r="AQ2715" s="94" t="s">
        <v>118</v>
      </c>
      <c r="AV2715" s="93">
        <f t="shared" si="727"/>
        <v>0</v>
      </c>
      <c r="AW2715" s="93">
        <f t="shared" si="728"/>
        <v>0</v>
      </c>
      <c r="AX2715" s="93">
        <f t="shared" si="729"/>
        <v>0</v>
      </c>
      <c r="AY2715" s="94" t="s">
        <v>3494</v>
      </c>
      <c r="AZ2715" s="94" t="s">
        <v>3495</v>
      </c>
      <c r="BA2715" s="88" t="s">
        <v>67</v>
      </c>
      <c r="BC2715" s="93">
        <f t="shared" si="730"/>
        <v>0</v>
      </c>
      <c r="BD2715" s="93">
        <f t="shared" si="731"/>
        <v>0</v>
      </c>
      <c r="BE2715" s="93">
        <v>0</v>
      </c>
      <c r="BF2715" s="93">
        <f t="shared" si="732"/>
        <v>0</v>
      </c>
      <c r="BH2715" s="93">
        <f t="shared" si="733"/>
        <v>0</v>
      </c>
      <c r="BI2715" s="93">
        <f t="shared" si="734"/>
        <v>0</v>
      </c>
      <c r="BJ2715" s="93">
        <f t="shared" si="735"/>
        <v>0</v>
      </c>
      <c r="BK2715" s="93"/>
      <c r="BL2715" s="93"/>
      <c r="BW2715" s="93" t="str">
        <f t="shared" si="736"/>
        <v>21</v>
      </c>
      <c r="BX2715" s="2" t="s">
        <v>4015</v>
      </c>
    </row>
    <row r="2716" spans="1:76" s="81" customFormat="1" ht="25.5" x14ac:dyDescent="0.25">
      <c r="A2716" s="66" t="s">
        <v>4033</v>
      </c>
      <c r="B2716" s="72" t="s">
        <v>55</v>
      </c>
      <c r="C2716" s="72" t="s">
        <v>4017</v>
      </c>
      <c r="D2716" s="174" t="s">
        <v>3849</v>
      </c>
      <c r="E2716" s="174"/>
      <c r="F2716" s="72" t="s">
        <v>3596</v>
      </c>
      <c r="G2716" s="90">
        <v>16</v>
      </c>
      <c r="H2716" s="91"/>
      <c r="I2716" s="92" t="s">
        <v>63</v>
      </c>
      <c r="J2716" s="90">
        <f t="shared" si="709"/>
        <v>0</v>
      </c>
      <c r="K2716" s="90">
        <f t="shared" si="710"/>
        <v>0</v>
      </c>
      <c r="L2716" s="90">
        <f t="shared" si="711"/>
        <v>0</v>
      </c>
      <c r="M2716" s="90">
        <f t="shared" si="712"/>
        <v>0</v>
      </c>
      <c r="N2716" s="90">
        <v>0</v>
      </c>
      <c r="O2716" s="90">
        <f t="shared" si="713"/>
        <v>0</v>
      </c>
      <c r="P2716" s="92" t="s">
        <v>1647</v>
      </c>
      <c r="Z2716" s="93">
        <f t="shared" si="714"/>
        <v>0</v>
      </c>
      <c r="AB2716" s="93">
        <f t="shared" si="715"/>
        <v>0</v>
      </c>
      <c r="AC2716" s="93">
        <f t="shared" si="716"/>
        <v>0</v>
      </c>
      <c r="AD2716" s="93">
        <f t="shared" si="717"/>
        <v>0</v>
      </c>
      <c r="AE2716" s="93">
        <f t="shared" si="718"/>
        <v>0</v>
      </c>
      <c r="AF2716" s="93">
        <f t="shared" si="719"/>
        <v>0</v>
      </c>
      <c r="AG2716" s="93">
        <f t="shared" si="720"/>
        <v>0</v>
      </c>
      <c r="AH2716" s="93">
        <f t="shared" si="721"/>
        <v>0</v>
      </c>
      <c r="AI2716" s="88" t="s">
        <v>55</v>
      </c>
      <c r="AJ2716" s="93">
        <f t="shared" si="722"/>
        <v>0</v>
      </c>
      <c r="AK2716" s="93">
        <f t="shared" si="723"/>
        <v>0</v>
      </c>
      <c r="AL2716" s="93">
        <f t="shared" si="724"/>
        <v>0</v>
      </c>
      <c r="AN2716" s="93">
        <v>21</v>
      </c>
      <c r="AO2716" s="93">
        <f t="shared" si="725"/>
        <v>0</v>
      </c>
      <c r="AP2716" s="93">
        <f t="shared" si="726"/>
        <v>0</v>
      </c>
      <c r="AQ2716" s="94" t="s">
        <v>118</v>
      </c>
      <c r="AV2716" s="93">
        <f t="shared" si="727"/>
        <v>0</v>
      </c>
      <c r="AW2716" s="93">
        <f t="shared" si="728"/>
        <v>0</v>
      </c>
      <c r="AX2716" s="93">
        <f t="shared" si="729"/>
        <v>0</v>
      </c>
      <c r="AY2716" s="94" t="s">
        <v>3494</v>
      </c>
      <c r="AZ2716" s="94" t="s">
        <v>3495</v>
      </c>
      <c r="BA2716" s="88" t="s">
        <v>67</v>
      </c>
      <c r="BC2716" s="93">
        <f t="shared" si="730"/>
        <v>0</v>
      </c>
      <c r="BD2716" s="93">
        <f t="shared" si="731"/>
        <v>0</v>
      </c>
      <c r="BE2716" s="93">
        <v>0</v>
      </c>
      <c r="BF2716" s="93">
        <f t="shared" si="732"/>
        <v>0</v>
      </c>
      <c r="BH2716" s="93">
        <f t="shared" si="733"/>
        <v>0</v>
      </c>
      <c r="BI2716" s="93">
        <f t="shared" si="734"/>
        <v>0</v>
      </c>
      <c r="BJ2716" s="93">
        <f t="shared" si="735"/>
        <v>0</v>
      </c>
      <c r="BK2716" s="93"/>
      <c r="BL2716" s="93"/>
      <c r="BW2716" s="93" t="str">
        <f t="shared" si="736"/>
        <v>21</v>
      </c>
      <c r="BX2716" s="2" t="s">
        <v>3849</v>
      </c>
    </row>
    <row r="2717" spans="1:76" s="81" customFormat="1" x14ac:dyDescent="0.25">
      <c r="A2717" s="109" t="s">
        <v>54</v>
      </c>
      <c r="B2717" s="74" t="s">
        <v>4018</v>
      </c>
      <c r="C2717" s="74" t="s">
        <v>54</v>
      </c>
      <c r="D2717" s="180" t="s">
        <v>4019</v>
      </c>
      <c r="E2717" s="180"/>
      <c r="F2717" s="85" t="s">
        <v>4</v>
      </c>
      <c r="G2717" s="85" t="s">
        <v>4</v>
      </c>
      <c r="H2717" s="85" t="s">
        <v>4</v>
      </c>
      <c r="I2717" s="85" t="s">
        <v>4</v>
      </c>
      <c r="J2717" s="86">
        <f>J2719+J2725+J2730+J2735+J2745+J2749+J2752+J2755</f>
        <v>0</v>
      </c>
      <c r="K2717" s="86">
        <f>K2719+K2725+K2730+K2735+K2745+K2749+K2752+K2755</f>
        <v>0</v>
      </c>
      <c r="L2717" s="86">
        <f>L2719+L2725+L2730+L2735+L2745+L2749+L2752+L2755</f>
        <v>0</v>
      </c>
      <c r="M2717" s="86">
        <f>M2719+M2725+M2730+M2735+M2745+M2749+M2752+M2755</f>
        <v>0</v>
      </c>
      <c r="N2717" s="87" t="s">
        <v>54</v>
      </c>
      <c r="O2717" s="86">
        <f>O2719+O2725+O2730+O2735+O2745+O2749+O2752+O2755</f>
        <v>385.07113543999998</v>
      </c>
      <c r="P2717" s="87" t="s">
        <v>54</v>
      </c>
    </row>
    <row r="2718" spans="1:76" s="81" customFormat="1" x14ac:dyDescent="0.25">
      <c r="A2718" s="108" t="s">
        <v>54</v>
      </c>
      <c r="B2718" s="73" t="s">
        <v>4018</v>
      </c>
      <c r="C2718" s="73" t="s">
        <v>54</v>
      </c>
      <c r="D2718" s="184" t="s">
        <v>56</v>
      </c>
      <c r="E2718" s="184"/>
      <c r="F2718" s="82" t="s">
        <v>4</v>
      </c>
      <c r="G2718" s="82" t="s">
        <v>4</v>
      </c>
      <c r="H2718" s="82" t="s">
        <v>4</v>
      </c>
      <c r="I2718" s="82" t="s">
        <v>4</v>
      </c>
      <c r="J2718" s="83">
        <f>J2719+J2725+J2730+J2735+J2745+J2749+J2752</f>
        <v>0</v>
      </c>
      <c r="K2718" s="83">
        <f>K2719+K2725+K2730+K2735+K2745+K2749+K2752</f>
        <v>0</v>
      </c>
      <c r="L2718" s="83">
        <f>L2719+L2725+L2730+L2735+L2745+L2749+L2752</f>
        <v>0</v>
      </c>
      <c r="M2718" s="83">
        <f>M2719+M2725+M2730+M2735+M2745+M2749+M2752</f>
        <v>0</v>
      </c>
      <c r="N2718" s="84" t="s">
        <v>54</v>
      </c>
      <c r="O2718" s="83">
        <f>O2719+O2725+O2730+O2735+O2745+O2749+O2752</f>
        <v>385.07113543999998</v>
      </c>
      <c r="P2718" s="84" t="s">
        <v>54</v>
      </c>
    </row>
    <row r="2719" spans="1:76" s="81" customFormat="1" x14ac:dyDescent="0.25">
      <c r="A2719" s="109" t="s">
        <v>54</v>
      </c>
      <c r="B2719" s="74" t="s">
        <v>4018</v>
      </c>
      <c r="C2719" s="74" t="s">
        <v>57</v>
      </c>
      <c r="D2719" s="180" t="s">
        <v>58</v>
      </c>
      <c r="E2719" s="180"/>
      <c r="F2719" s="85" t="s">
        <v>4</v>
      </c>
      <c r="G2719" s="85" t="s">
        <v>4</v>
      </c>
      <c r="H2719" s="85" t="s">
        <v>4</v>
      </c>
      <c r="I2719" s="85" t="s">
        <v>4</v>
      </c>
      <c r="J2719" s="86">
        <f>SUM(J2720:J2723)</f>
        <v>0</v>
      </c>
      <c r="K2719" s="86">
        <f>SUM(K2720:K2723)</f>
        <v>0</v>
      </c>
      <c r="L2719" s="86">
        <f>SUM(L2720:L2723)</f>
        <v>0</v>
      </c>
      <c r="M2719" s="86">
        <f>SUM(M2720:M2723)</f>
        <v>0</v>
      </c>
      <c r="N2719" s="87" t="s">
        <v>54</v>
      </c>
      <c r="O2719" s="86">
        <f>SUM(O2720:O2723)</f>
        <v>0</v>
      </c>
      <c r="P2719" s="87" t="s">
        <v>54</v>
      </c>
      <c r="AI2719" s="88" t="s">
        <v>4018</v>
      </c>
      <c r="AS2719" s="89">
        <f>SUM(AJ2720:AJ2723)</f>
        <v>0</v>
      </c>
      <c r="AT2719" s="89">
        <f>SUM(AK2720:AK2723)</f>
        <v>0</v>
      </c>
      <c r="AU2719" s="89">
        <f>SUM(AL2720:AL2723)</f>
        <v>0</v>
      </c>
    </row>
    <row r="2720" spans="1:76" s="81" customFormat="1" x14ac:dyDescent="0.25">
      <c r="A2720" s="66" t="s">
        <v>4036</v>
      </c>
      <c r="B2720" s="72" t="s">
        <v>4018</v>
      </c>
      <c r="C2720" s="72" t="s">
        <v>4021</v>
      </c>
      <c r="D2720" s="174" t="s">
        <v>4022</v>
      </c>
      <c r="E2720" s="174"/>
      <c r="F2720" s="72" t="s">
        <v>62</v>
      </c>
      <c r="G2720" s="90">
        <v>28.8</v>
      </c>
      <c r="H2720" s="91"/>
      <c r="I2720" s="92" t="s">
        <v>63</v>
      </c>
      <c r="J2720" s="90">
        <f>G2720*AO2720</f>
        <v>0</v>
      </c>
      <c r="K2720" s="90">
        <f>G2720*AP2720</f>
        <v>0</v>
      </c>
      <c r="L2720" s="90">
        <f>G2720*H2720</f>
        <v>0</v>
      </c>
      <c r="M2720" s="90">
        <f>L2720*(1+BW2720/100)</f>
        <v>0</v>
      </c>
      <c r="N2720" s="90">
        <v>0</v>
      </c>
      <c r="O2720" s="90">
        <f>G2720*N2720</f>
        <v>0</v>
      </c>
      <c r="P2720" s="92" t="s">
        <v>64</v>
      </c>
      <c r="Z2720" s="93">
        <f>IF(AQ2720="5",BJ2720,0)</f>
        <v>0</v>
      </c>
      <c r="AB2720" s="93">
        <f>IF(AQ2720="1",BH2720,0)</f>
        <v>0</v>
      </c>
      <c r="AC2720" s="93">
        <f>IF(AQ2720="1",BI2720,0)</f>
        <v>0</v>
      </c>
      <c r="AD2720" s="93">
        <f>IF(AQ2720="7",BH2720,0)</f>
        <v>0</v>
      </c>
      <c r="AE2720" s="93">
        <f>IF(AQ2720="7",BI2720,0)</f>
        <v>0</v>
      </c>
      <c r="AF2720" s="93">
        <f>IF(AQ2720="2",BH2720,0)</f>
        <v>0</v>
      </c>
      <c r="AG2720" s="93">
        <f>IF(AQ2720="2",BI2720,0)</f>
        <v>0</v>
      </c>
      <c r="AH2720" s="93">
        <f>IF(AQ2720="0",BJ2720,0)</f>
        <v>0</v>
      </c>
      <c r="AI2720" s="88" t="s">
        <v>4018</v>
      </c>
      <c r="AJ2720" s="93">
        <f>IF(AN2720=0,L2720,0)</f>
        <v>0</v>
      </c>
      <c r="AK2720" s="93">
        <f>IF(AN2720=12,L2720,0)</f>
        <v>0</v>
      </c>
      <c r="AL2720" s="93">
        <f>IF(AN2720=21,L2720,0)</f>
        <v>0</v>
      </c>
      <c r="AN2720" s="93">
        <v>21</v>
      </c>
      <c r="AO2720" s="93">
        <f>H2720*0</f>
        <v>0</v>
      </c>
      <c r="AP2720" s="93">
        <f>H2720*(1-0)</f>
        <v>0</v>
      </c>
      <c r="AQ2720" s="94" t="s">
        <v>59</v>
      </c>
      <c r="AV2720" s="93">
        <f>AW2720+AX2720</f>
        <v>0</v>
      </c>
      <c r="AW2720" s="93">
        <f>G2720*AO2720</f>
        <v>0</v>
      </c>
      <c r="AX2720" s="93">
        <f>G2720*AP2720</f>
        <v>0</v>
      </c>
      <c r="AY2720" s="94" t="s">
        <v>65</v>
      </c>
      <c r="AZ2720" s="94" t="s">
        <v>4023</v>
      </c>
      <c r="BA2720" s="88" t="s">
        <v>4024</v>
      </c>
      <c r="BC2720" s="93">
        <f>AW2720+AX2720</f>
        <v>0</v>
      </c>
      <c r="BD2720" s="93">
        <f>H2720/(100-BE2720)*100</f>
        <v>0</v>
      </c>
      <c r="BE2720" s="93">
        <v>0</v>
      </c>
      <c r="BF2720" s="93">
        <f>O2720</f>
        <v>0</v>
      </c>
      <c r="BH2720" s="93">
        <f>G2720*AO2720</f>
        <v>0</v>
      </c>
      <c r="BI2720" s="93">
        <f>G2720*AP2720</f>
        <v>0</v>
      </c>
      <c r="BJ2720" s="93">
        <f>G2720*H2720</f>
        <v>0</v>
      </c>
      <c r="BK2720" s="93"/>
      <c r="BL2720" s="93">
        <v>13</v>
      </c>
      <c r="BW2720" s="93" t="str">
        <f>I2720</f>
        <v>21</v>
      </c>
      <c r="BX2720" s="2" t="s">
        <v>4022</v>
      </c>
    </row>
    <row r="2721" spans="1:76" s="81" customFormat="1" x14ac:dyDescent="0.25">
      <c r="A2721" s="110"/>
      <c r="B2721" s="95"/>
      <c r="C2721" s="95"/>
      <c r="D2721" s="76" t="s">
        <v>54</v>
      </c>
      <c r="E2721" s="76" t="s">
        <v>4025</v>
      </c>
      <c r="F2721" s="95"/>
      <c r="G2721" s="96">
        <v>0</v>
      </c>
      <c r="H2721" s="95"/>
      <c r="I2721" s="95"/>
      <c r="J2721" s="95"/>
      <c r="K2721" s="95"/>
      <c r="L2721" s="95"/>
      <c r="M2721" s="95"/>
      <c r="N2721" s="95"/>
      <c r="O2721" s="95"/>
      <c r="P2721" s="95"/>
    </row>
    <row r="2722" spans="1:76" s="81" customFormat="1" x14ac:dyDescent="0.25">
      <c r="A2722" s="110"/>
      <c r="B2722" s="95"/>
      <c r="C2722" s="95"/>
      <c r="D2722" s="76" t="s">
        <v>4026</v>
      </c>
      <c r="E2722" s="76" t="s">
        <v>54</v>
      </c>
      <c r="F2722" s="95"/>
      <c r="G2722" s="96">
        <v>28.8</v>
      </c>
      <c r="H2722" s="95"/>
      <c r="I2722" s="95"/>
      <c r="J2722" s="95"/>
      <c r="K2722" s="95"/>
      <c r="L2722" s="95"/>
      <c r="M2722" s="95"/>
      <c r="N2722" s="95"/>
      <c r="O2722" s="95"/>
      <c r="P2722" s="95"/>
    </row>
    <row r="2723" spans="1:76" s="81" customFormat="1" x14ac:dyDescent="0.25">
      <c r="A2723" s="66" t="s">
        <v>4041</v>
      </c>
      <c r="B2723" s="72" t="s">
        <v>4018</v>
      </c>
      <c r="C2723" s="72" t="s">
        <v>131</v>
      </c>
      <c r="D2723" s="174" t="s">
        <v>132</v>
      </c>
      <c r="E2723" s="174"/>
      <c r="F2723" s="72" t="s">
        <v>62</v>
      </c>
      <c r="G2723" s="90">
        <v>14.4</v>
      </c>
      <c r="H2723" s="91"/>
      <c r="I2723" s="92" t="s">
        <v>63</v>
      </c>
      <c r="J2723" s="90">
        <f>G2723*AO2723</f>
        <v>0</v>
      </c>
      <c r="K2723" s="90">
        <f>G2723*AP2723</f>
        <v>0</v>
      </c>
      <c r="L2723" s="90">
        <f>G2723*H2723</f>
        <v>0</v>
      </c>
      <c r="M2723" s="90">
        <f>L2723*(1+BW2723/100)</f>
        <v>0</v>
      </c>
      <c r="N2723" s="90">
        <v>0</v>
      </c>
      <c r="O2723" s="90">
        <f>G2723*N2723</f>
        <v>0</v>
      </c>
      <c r="P2723" s="92" t="s">
        <v>64</v>
      </c>
      <c r="Z2723" s="93">
        <f>IF(AQ2723="5",BJ2723,0)</f>
        <v>0</v>
      </c>
      <c r="AB2723" s="93">
        <f>IF(AQ2723="1",BH2723,0)</f>
        <v>0</v>
      </c>
      <c r="AC2723" s="93">
        <f>IF(AQ2723="1",BI2723,0)</f>
        <v>0</v>
      </c>
      <c r="AD2723" s="93">
        <f>IF(AQ2723="7",BH2723,0)</f>
        <v>0</v>
      </c>
      <c r="AE2723" s="93">
        <f>IF(AQ2723="7",BI2723,0)</f>
        <v>0</v>
      </c>
      <c r="AF2723" s="93">
        <f>IF(AQ2723="2",BH2723,0)</f>
        <v>0</v>
      </c>
      <c r="AG2723" s="93">
        <f>IF(AQ2723="2",BI2723,0)</f>
        <v>0</v>
      </c>
      <c r="AH2723" s="93">
        <f>IF(AQ2723="0",BJ2723,0)</f>
        <v>0</v>
      </c>
      <c r="AI2723" s="88" t="s">
        <v>4018</v>
      </c>
      <c r="AJ2723" s="93">
        <f>IF(AN2723=0,L2723,0)</f>
        <v>0</v>
      </c>
      <c r="AK2723" s="93">
        <f>IF(AN2723=12,L2723,0)</f>
        <v>0</v>
      </c>
      <c r="AL2723" s="93">
        <f>IF(AN2723=21,L2723,0)</f>
        <v>0</v>
      </c>
      <c r="AN2723" s="93">
        <v>21</v>
      </c>
      <c r="AO2723" s="93">
        <f>H2723*0</f>
        <v>0</v>
      </c>
      <c r="AP2723" s="93">
        <f>H2723*(1-0)</f>
        <v>0</v>
      </c>
      <c r="AQ2723" s="94" t="s">
        <v>59</v>
      </c>
      <c r="AV2723" s="93">
        <f>AW2723+AX2723</f>
        <v>0</v>
      </c>
      <c r="AW2723" s="93">
        <f>G2723*AO2723</f>
        <v>0</v>
      </c>
      <c r="AX2723" s="93">
        <f>G2723*AP2723</f>
        <v>0</v>
      </c>
      <c r="AY2723" s="94" t="s">
        <v>65</v>
      </c>
      <c r="AZ2723" s="94" t="s">
        <v>4023</v>
      </c>
      <c r="BA2723" s="88" t="s">
        <v>4024</v>
      </c>
      <c r="BC2723" s="93">
        <f>AW2723+AX2723</f>
        <v>0</v>
      </c>
      <c r="BD2723" s="93">
        <f>H2723/(100-BE2723)*100</f>
        <v>0</v>
      </c>
      <c r="BE2723" s="93">
        <v>0</v>
      </c>
      <c r="BF2723" s="93">
        <f>O2723</f>
        <v>0</v>
      </c>
      <c r="BH2723" s="93">
        <f>G2723*AO2723</f>
        <v>0</v>
      </c>
      <c r="BI2723" s="93">
        <f>G2723*AP2723</f>
        <v>0</v>
      </c>
      <c r="BJ2723" s="93">
        <f>G2723*H2723</f>
        <v>0</v>
      </c>
      <c r="BK2723" s="93"/>
      <c r="BL2723" s="93">
        <v>13</v>
      </c>
      <c r="BW2723" s="93" t="str">
        <f>I2723</f>
        <v>21</v>
      </c>
      <c r="BX2723" s="2" t="s">
        <v>132</v>
      </c>
    </row>
    <row r="2724" spans="1:76" s="81" customFormat="1" x14ac:dyDescent="0.25">
      <c r="A2724" s="110"/>
      <c r="B2724" s="95"/>
      <c r="C2724" s="95"/>
      <c r="D2724" s="76" t="s">
        <v>4028</v>
      </c>
      <c r="E2724" s="76" t="s">
        <v>54</v>
      </c>
      <c r="F2724" s="95"/>
      <c r="G2724" s="96">
        <v>14.4</v>
      </c>
      <c r="H2724" s="95"/>
      <c r="I2724" s="95"/>
      <c r="J2724" s="95"/>
      <c r="K2724" s="95"/>
      <c r="L2724" s="95"/>
      <c r="M2724" s="95"/>
      <c r="N2724" s="95"/>
      <c r="O2724" s="95"/>
      <c r="P2724" s="95"/>
    </row>
    <row r="2725" spans="1:76" s="81" customFormat="1" x14ac:dyDescent="0.25">
      <c r="A2725" s="109" t="s">
        <v>54</v>
      </c>
      <c r="B2725" s="74" t="s">
        <v>4018</v>
      </c>
      <c r="C2725" s="74" t="s">
        <v>134</v>
      </c>
      <c r="D2725" s="180" t="s">
        <v>135</v>
      </c>
      <c r="E2725" s="180"/>
      <c r="F2725" s="85" t="s">
        <v>4</v>
      </c>
      <c r="G2725" s="85" t="s">
        <v>4</v>
      </c>
      <c r="H2725" s="85" t="s">
        <v>4</v>
      </c>
      <c r="I2725" s="85" t="s">
        <v>4</v>
      </c>
      <c r="J2725" s="86">
        <f>SUM(J2726:J2729)</f>
        <v>0</v>
      </c>
      <c r="K2725" s="86">
        <f>SUM(K2726:K2729)</f>
        <v>0</v>
      </c>
      <c r="L2725" s="86">
        <f>SUM(L2726:L2729)</f>
        <v>0</v>
      </c>
      <c r="M2725" s="86">
        <f>SUM(M2726:M2729)</f>
        <v>0</v>
      </c>
      <c r="N2725" s="87" t="s">
        <v>54</v>
      </c>
      <c r="O2725" s="86">
        <f>SUM(O2726:O2729)</f>
        <v>0</v>
      </c>
      <c r="P2725" s="87" t="s">
        <v>54</v>
      </c>
      <c r="AI2725" s="88" t="s">
        <v>4018</v>
      </c>
      <c r="AS2725" s="89">
        <f>SUM(AJ2726:AJ2729)</f>
        <v>0</v>
      </c>
      <c r="AT2725" s="89">
        <f>SUM(AK2726:AK2729)</f>
        <v>0</v>
      </c>
      <c r="AU2725" s="89">
        <f>SUM(AL2726:AL2729)</f>
        <v>0</v>
      </c>
    </row>
    <row r="2726" spans="1:76" s="81" customFormat="1" x14ac:dyDescent="0.25">
      <c r="A2726" s="66" t="s">
        <v>4047</v>
      </c>
      <c r="B2726" s="72" t="s">
        <v>4018</v>
      </c>
      <c r="C2726" s="72" t="s">
        <v>145</v>
      </c>
      <c r="D2726" s="174" t="s">
        <v>146</v>
      </c>
      <c r="E2726" s="174"/>
      <c r="F2726" s="72" t="s">
        <v>62</v>
      </c>
      <c r="G2726" s="90">
        <v>28.8</v>
      </c>
      <c r="H2726" s="91"/>
      <c r="I2726" s="92" t="s">
        <v>63</v>
      </c>
      <c r="J2726" s="90">
        <f>G2726*AO2726</f>
        <v>0</v>
      </c>
      <c r="K2726" s="90">
        <f>G2726*AP2726</f>
        <v>0</v>
      </c>
      <c r="L2726" s="90">
        <f>G2726*H2726</f>
        <v>0</v>
      </c>
      <c r="M2726" s="90">
        <f>L2726*(1+BW2726/100)</f>
        <v>0</v>
      </c>
      <c r="N2726" s="90">
        <v>0</v>
      </c>
      <c r="O2726" s="90">
        <f>G2726*N2726</f>
        <v>0</v>
      </c>
      <c r="P2726" s="92" t="s">
        <v>64</v>
      </c>
      <c r="Z2726" s="93">
        <f>IF(AQ2726="5",BJ2726,0)</f>
        <v>0</v>
      </c>
      <c r="AB2726" s="93">
        <f>IF(AQ2726="1",BH2726,0)</f>
        <v>0</v>
      </c>
      <c r="AC2726" s="93">
        <f>IF(AQ2726="1",BI2726,0)</f>
        <v>0</v>
      </c>
      <c r="AD2726" s="93">
        <f>IF(AQ2726="7",BH2726,0)</f>
        <v>0</v>
      </c>
      <c r="AE2726" s="93">
        <f>IF(AQ2726="7",BI2726,0)</f>
        <v>0</v>
      </c>
      <c r="AF2726" s="93">
        <f>IF(AQ2726="2",BH2726,0)</f>
        <v>0</v>
      </c>
      <c r="AG2726" s="93">
        <f>IF(AQ2726="2",BI2726,0)</f>
        <v>0</v>
      </c>
      <c r="AH2726" s="93">
        <f>IF(AQ2726="0",BJ2726,0)</f>
        <v>0</v>
      </c>
      <c r="AI2726" s="88" t="s">
        <v>4018</v>
      </c>
      <c r="AJ2726" s="93">
        <f>IF(AN2726=0,L2726,0)</f>
        <v>0</v>
      </c>
      <c r="AK2726" s="93">
        <f>IF(AN2726=12,L2726,0)</f>
        <v>0</v>
      </c>
      <c r="AL2726" s="93">
        <f>IF(AN2726=21,L2726,0)</f>
        <v>0</v>
      </c>
      <c r="AN2726" s="93">
        <v>21</v>
      </c>
      <c r="AO2726" s="93">
        <f>H2726*0</f>
        <v>0</v>
      </c>
      <c r="AP2726" s="93">
        <f>H2726*(1-0)</f>
        <v>0</v>
      </c>
      <c r="AQ2726" s="94" t="s">
        <v>59</v>
      </c>
      <c r="AV2726" s="93">
        <f>AW2726+AX2726</f>
        <v>0</v>
      </c>
      <c r="AW2726" s="93">
        <f>G2726*AO2726</f>
        <v>0</v>
      </c>
      <c r="AX2726" s="93">
        <f>G2726*AP2726</f>
        <v>0</v>
      </c>
      <c r="AY2726" s="94" t="s">
        <v>139</v>
      </c>
      <c r="AZ2726" s="94" t="s">
        <v>4023</v>
      </c>
      <c r="BA2726" s="88" t="s">
        <v>4024</v>
      </c>
      <c r="BC2726" s="93">
        <f>AW2726+AX2726</f>
        <v>0</v>
      </c>
      <c r="BD2726" s="93">
        <f>H2726/(100-BE2726)*100</f>
        <v>0</v>
      </c>
      <c r="BE2726" s="93">
        <v>0</v>
      </c>
      <c r="BF2726" s="93">
        <f>O2726</f>
        <v>0</v>
      </c>
      <c r="BH2726" s="93">
        <f>G2726*AO2726</f>
        <v>0</v>
      </c>
      <c r="BI2726" s="93">
        <f>G2726*AP2726</f>
        <v>0</v>
      </c>
      <c r="BJ2726" s="93">
        <f>G2726*H2726</f>
        <v>0</v>
      </c>
      <c r="BK2726" s="93"/>
      <c r="BL2726" s="93">
        <v>16</v>
      </c>
      <c r="BW2726" s="93" t="str">
        <f>I2726</f>
        <v>21</v>
      </c>
      <c r="BX2726" s="2" t="s">
        <v>146</v>
      </c>
    </row>
    <row r="2727" spans="1:76" s="81" customFormat="1" x14ac:dyDescent="0.25">
      <c r="A2727" s="66" t="s">
        <v>4051</v>
      </c>
      <c r="B2727" s="72" t="s">
        <v>4018</v>
      </c>
      <c r="C2727" s="72" t="s">
        <v>149</v>
      </c>
      <c r="D2727" s="174" t="s">
        <v>150</v>
      </c>
      <c r="E2727" s="174"/>
      <c r="F2727" s="72" t="s">
        <v>62</v>
      </c>
      <c r="G2727" s="90">
        <v>288</v>
      </c>
      <c r="H2727" s="91"/>
      <c r="I2727" s="92" t="s">
        <v>63</v>
      </c>
      <c r="J2727" s="90">
        <f>G2727*AO2727</f>
        <v>0</v>
      </c>
      <c r="K2727" s="90">
        <f>G2727*AP2727</f>
        <v>0</v>
      </c>
      <c r="L2727" s="90">
        <f>G2727*H2727</f>
        <v>0</v>
      </c>
      <c r="M2727" s="90">
        <f>L2727*(1+BW2727/100)</f>
        <v>0</v>
      </c>
      <c r="N2727" s="90">
        <v>0</v>
      </c>
      <c r="O2727" s="90">
        <f>G2727*N2727</f>
        <v>0</v>
      </c>
      <c r="P2727" s="92" t="s">
        <v>64</v>
      </c>
      <c r="Z2727" s="93">
        <f>IF(AQ2727="5",BJ2727,0)</f>
        <v>0</v>
      </c>
      <c r="AB2727" s="93">
        <f>IF(AQ2727="1",BH2727,0)</f>
        <v>0</v>
      </c>
      <c r="AC2727" s="93">
        <f>IF(AQ2727="1",BI2727,0)</f>
        <v>0</v>
      </c>
      <c r="AD2727" s="93">
        <f>IF(AQ2727="7",BH2727,0)</f>
        <v>0</v>
      </c>
      <c r="AE2727" s="93">
        <f>IF(AQ2727="7",BI2727,0)</f>
        <v>0</v>
      </c>
      <c r="AF2727" s="93">
        <f>IF(AQ2727="2",BH2727,0)</f>
        <v>0</v>
      </c>
      <c r="AG2727" s="93">
        <f>IF(AQ2727="2",BI2727,0)</f>
        <v>0</v>
      </c>
      <c r="AH2727" s="93">
        <f>IF(AQ2727="0",BJ2727,0)</f>
        <v>0</v>
      </c>
      <c r="AI2727" s="88" t="s">
        <v>4018</v>
      </c>
      <c r="AJ2727" s="93">
        <f>IF(AN2727=0,L2727,0)</f>
        <v>0</v>
      </c>
      <c r="AK2727" s="93">
        <f>IF(AN2727=12,L2727,0)</f>
        <v>0</v>
      </c>
      <c r="AL2727" s="93">
        <f>IF(AN2727=21,L2727,0)</f>
        <v>0</v>
      </c>
      <c r="AN2727" s="93">
        <v>21</v>
      </c>
      <c r="AO2727" s="93">
        <f>H2727*0</f>
        <v>0</v>
      </c>
      <c r="AP2727" s="93">
        <f>H2727*(1-0)</f>
        <v>0</v>
      </c>
      <c r="AQ2727" s="94" t="s">
        <v>59</v>
      </c>
      <c r="AV2727" s="93">
        <f>AW2727+AX2727</f>
        <v>0</v>
      </c>
      <c r="AW2727" s="93">
        <f>G2727*AO2727</f>
        <v>0</v>
      </c>
      <c r="AX2727" s="93">
        <f>G2727*AP2727</f>
        <v>0</v>
      </c>
      <c r="AY2727" s="94" t="s">
        <v>139</v>
      </c>
      <c r="AZ2727" s="94" t="s">
        <v>4023</v>
      </c>
      <c r="BA2727" s="88" t="s">
        <v>4024</v>
      </c>
      <c r="BC2727" s="93">
        <f>AW2727+AX2727</f>
        <v>0</v>
      </c>
      <c r="BD2727" s="93">
        <f>H2727/(100-BE2727)*100</f>
        <v>0</v>
      </c>
      <c r="BE2727" s="93">
        <v>0</v>
      </c>
      <c r="BF2727" s="93">
        <f>O2727</f>
        <v>0</v>
      </c>
      <c r="BH2727" s="93">
        <f>G2727*AO2727</f>
        <v>0</v>
      </c>
      <c r="BI2727" s="93">
        <f>G2727*AP2727</f>
        <v>0</v>
      </c>
      <c r="BJ2727" s="93">
        <f>G2727*H2727</f>
        <v>0</v>
      </c>
      <c r="BK2727" s="93"/>
      <c r="BL2727" s="93">
        <v>16</v>
      </c>
      <c r="BW2727" s="93" t="str">
        <f>I2727</f>
        <v>21</v>
      </c>
      <c r="BX2727" s="2" t="s">
        <v>150</v>
      </c>
    </row>
    <row r="2728" spans="1:76" s="81" customFormat="1" x14ac:dyDescent="0.25">
      <c r="A2728" s="110"/>
      <c r="B2728" s="95"/>
      <c r="C2728" s="95"/>
      <c r="D2728" s="76" t="s">
        <v>4031</v>
      </c>
      <c r="E2728" s="76" t="s">
        <v>54</v>
      </c>
      <c r="F2728" s="95"/>
      <c r="G2728" s="96">
        <v>288</v>
      </c>
      <c r="H2728" s="95"/>
      <c r="I2728" s="95"/>
      <c r="J2728" s="95"/>
      <c r="K2728" s="95"/>
      <c r="L2728" s="95"/>
      <c r="M2728" s="95"/>
      <c r="N2728" s="95"/>
      <c r="O2728" s="95"/>
      <c r="P2728" s="95"/>
    </row>
    <row r="2729" spans="1:76" s="81" customFormat="1" x14ac:dyDescent="0.25">
      <c r="A2729" s="66" t="s">
        <v>4057</v>
      </c>
      <c r="B2729" s="72" t="s">
        <v>4018</v>
      </c>
      <c r="C2729" s="72" t="s">
        <v>153</v>
      </c>
      <c r="D2729" s="174" t="s">
        <v>154</v>
      </c>
      <c r="E2729" s="174"/>
      <c r="F2729" s="72" t="s">
        <v>62</v>
      </c>
      <c r="G2729" s="90">
        <v>28.8</v>
      </c>
      <c r="H2729" s="91"/>
      <c r="I2729" s="92" t="s">
        <v>63</v>
      </c>
      <c r="J2729" s="90">
        <f>G2729*AO2729</f>
        <v>0</v>
      </c>
      <c r="K2729" s="90">
        <f>G2729*AP2729</f>
        <v>0</v>
      </c>
      <c r="L2729" s="90">
        <f>G2729*H2729</f>
        <v>0</v>
      </c>
      <c r="M2729" s="90">
        <f>L2729*(1+BW2729/100)</f>
        <v>0</v>
      </c>
      <c r="N2729" s="90">
        <v>0</v>
      </c>
      <c r="O2729" s="90">
        <f>G2729*N2729</f>
        <v>0</v>
      </c>
      <c r="P2729" s="92" t="s">
        <v>64</v>
      </c>
      <c r="Z2729" s="93">
        <f>IF(AQ2729="5",BJ2729,0)</f>
        <v>0</v>
      </c>
      <c r="AB2729" s="93">
        <f>IF(AQ2729="1",BH2729,0)</f>
        <v>0</v>
      </c>
      <c r="AC2729" s="93">
        <f>IF(AQ2729="1",BI2729,0)</f>
        <v>0</v>
      </c>
      <c r="AD2729" s="93">
        <f>IF(AQ2729="7",BH2729,0)</f>
        <v>0</v>
      </c>
      <c r="AE2729" s="93">
        <f>IF(AQ2729="7",BI2729,0)</f>
        <v>0</v>
      </c>
      <c r="AF2729" s="93">
        <f>IF(AQ2729="2",BH2729,0)</f>
        <v>0</v>
      </c>
      <c r="AG2729" s="93">
        <f>IF(AQ2729="2",BI2729,0)</f>
        <v>0</v>
      </c>
      <c r="AH2729" s="93">
        <f>IF(AQ2729="0",BJ2729,0)</f>
        <v>0</v>
      </c>
      <c r="AI2729" s="88" t="s">
        <v>4018</v>
      </c>
      <c r="AJ2729" s="93">
        <f>IF(AN2729=0,L2729,0)</f>
        <v>0</v>
      </c>
      <c r="AK2729" s="93">
        <f>IF(AN2729=12,L2729,0)</f>
        <v>0</v>
      </c>
      <c r="AL2729" s="93">
        <f>IF(AN2729=21,L2729,0)</f>
        <v>0</v>
      </c>
      <c r="AN2729" s="93">
        <v>21</v>
      </c>
      <c r="AO2729" s="93">
        <f>H2729*0</f>
        <v>0</v>
      </c>
      <c r="AP2729" s="93">
        <f>H2729*(1-0)</f>
        <v>0</v>
      </c>
      <c r="AQ2729" s="94" t="s">
        <v>59</v>
      </c>
      <c r="AV2729" s="93">
        <f>AW2729+AX2729</f>
        <v>0</v>
      </c>
      <c r="AW2729" s="93">
        <f>G2729*AO2729</f>
        <v>0</v>
      </c>
      <c r="AX2729" s="93">
        <f>G2729*AP2729</f>
        <v>0</v>
      </c>
      <c r="AY2729" s="94" t="s">
        <v>139</v>
      </c>
      <c r="AZ2729" s="94" t="s">
        <v>4023</v>
      </c>
      <c r="BA2729" s="88" t="s">
        <v>4024</v>
      </c>
      <c r="BC2729" s="93">
        <f>AW2729+AX2729</f>
        <v>0</v>
      </c>
      <c r="BD2729" s="93">
        <f>H2729/(100-BE2729)*100</f>
        <v>0</v>
      </c>
      <c r="BE2729" s="93">
        <v>0</v>
      </c>
      <c r="BF2729" s="93">
        <f>O2729</f>
        <v>0</v>
      </c>
      <c r="BH2729" s="93">
        <f>G2729*AO2729</f>
        <v>0</v>
      </c>
      <c r="BI2729" s="93">
        <f>G2729*AP2729</f>
        <v>0</v>
      </c>
      <c r="BJ2729" s="93">
        <f>G2729*H2729</f>
        <v>0</v>
      </c>
      <c r="BK2729" s="93"/>
      <c r="BL2729" s="93">
        <v>16</v>
      </c>
      <c r="BW2729" s="93" t="str">
        <f>I2729</f>
        <v>21</v>
      </c>
      <c r="BX2729" s="2" t="s">
        <v>154</v>
      </c>
    </row>
    <row r="2730" spans="1:76" s="81" customFormat="1" x14ac:dyDescent="0.25">
      <c r="A2730" s="109" t="s">
        <v>54</v>
      </c>
      <c r="B2730" s="74" t="s">
        <v>4018</v>
      </c>
      <c r="C2730" s="74" t="s">
        <v>63</v>
      </c>
      <c r="D2730" s="180" t="s">
        <v>204</v>
      </c>
      <c r="E2730" s="180"/>
      <c r="F2730" s="85" t="s">
        <v>4</v>
      </c>
      <c r="G2730" s="85" t="s">
        <v>4</v>
      </c>
      <c r="H2730" s="85" t="s">
        <v>4</v>
      </c>
      <c r="I2730" s="85" t="s">
        <v>4</v>
      </c>
      <c r="J2730" s="86">
        <f>SUM(J2731:J2731)</f>
        <v>0</v>
      </c>
      <c r="K2730" s="86">
        <f>SUM(K2731:K2731)</f>
        <v>0</v>
      </c>
      <c r="L2730" s="86">
        <f>SUM(L2731:L2731)</f>
        <v>0</v>
      </c>
      <c r="M2730" s="86">
        <f>SUM(M2731:M2731)</f>
        <v>0</v>
      </c>
      <c r="N2730" s="87" t="s">
        <v>54</v>
      </c>
      <c r="O2730" s="86">
        <f>SUM(O2731:O2731)</f>
        <v>13.4525553</v>
      </c>
      <c r="P2730" s="87" t="s">
        <v>54</v>
      </c>
      <c r="AI2730" s="88" t="s">
        <v>4018</v>
      </c>
      <c r="AS2730" s="89">
        <f>SUM(AJ2731:AJ2731)</f>
        <v>0</v>
      </c>
      <c r="AT2730" s="89">
        <f>SUM(AK2731:AK2731)</f>
        <v>0</v>
      </c>
      <c r="AU2730" s="89">
        <f>SUM(AL2731:AL2731)</f>
        <v>0</v>
      </c>
    </row>
    <row r="2731" spans="1:76" s="81" customFormat="1" x14ac:dyDescent="0.25">
      <c r="A2731" s="66" t="s">
        <v>4059</v>
      </c>
      <c r="B2731" s="72" t="s">
        <v>4018</v>
      </c>
      <c r="C2731" s="72" t="s">
        <v>211</v>
      </c>
      <c r="D2731" s="174" t="s">
        <v>212</v>
      </c>
      <c r="E2731" s="174"/>
      <c r="F2731" s="72" t="s">
        <v>213</v>
      </c>
      <c r="G2731" s="90">
        <v>31.63</v>
      </c>
      <c r="H2731" s="91"/>
      <c r="I2731" s="92" t="s">
        <v>63</v>
      </c>
      <c r="J2731" s="90">
        <f>G2731*AO2731</f>
        <v>0</v>
      </c>
      <c r="K2731" s="90">
        <f>G2731*AP2731</f>
        <v>0</v>
      </c>
      <c r="L2731" s="90">
        <f>G2731*H2731</f>
        <v>0</v>
      </c>
      <c r="M2731" s="90">
        <f>L2731*(1+BW2731/100)</f>
        <v>0</v>
      </c>
      <c r="N2731" s="90">
        <v>0.42531000000000002</v>
      </c>
      <c r="O2731" s="90">
        <f>G2731*N2731</f>
        <v>13.4525553</v>
      </c>
      <c r="P2731" s="92" t="s">
        <v>64</v>
      </c>
      <c r="Z2731" s="93">
        <f>IF(AQ2731="5",BJ2731,0)</f>
        <v>0</v>
      </c>
      <c r="AB2731" s="93">
        <f>IF(AQ2731="1",BH2731,0)</f>
        <v>0</v>
      </c>
      <c r="AC2731" s="93">
        <f>IF(AQ2731="1",BI2731,0)</f>
        <v>0</v>
      </c>
      <c r="AD2731" s="93">
        <f>IF(AQ2731="7",BH2731,0)</f>
        <v>0</v>
      </c>
      <c r="AE2731" s="93">
        <f>IF(AQ2731="7",BI2731,0)</f>
        <v>0</v>
      </c>
      <c r="AF2731" s="93">
        <f>IF(AQ2731="2",BH2731,0)</f>
        <v>0</v>
      </c>
      <c r="AG2731" s="93">
        <f>IF(AQ2731="2",BI2731,0)</f>
        <v>0</v>
      </c>
      <c r="AH2731" s="93">
        <f>IF(AQ2731="0",BJ2731,0)</f>
        <v>0</v>
      </c>
      <c r="AI2731" s="88" t="s">
        <v>4018</v>
      </c>
      <c r="AJ2731" s="93">
        <f>IF(AN2731=0,L2731,0)</f>
        <v>0</v>
      </c>
      <c r="AK2731" s="93">
        <f>IF(AN2731=12,L2731,0)</f>
        <v>0</v>
      </c>
      <c r="AL2731" s="93">
        <f>IF(AN2731=21,L2731,0)</f>
        <v>0</v>
      </c>
      <c r="AN2731" s="93">
        <v>21</v>
      </c>
      <c r="AO2731" s="93">
        <f>H2731*0.690080545</f>
        <v>0</v>
      </c>
      <c r="AP2731" s="93">
        <f>H2731*(1-0.690080545)</f>
        <v>0</v>
      </c>
      <c r="AQ2731" s="94" t="s">
        <v>59</v>
      </c>
      <c r="AV2731" s="93">
        <f>AW2731+AX2731</f>
        <v>0</v>
      </c>
      <c r="AW2731" s="93">
        <f>G2731*AO2731</f>
        <v>0</v>
      </c>
      <c r="AX2731" s="93">
        <f>G2731*AP2731</f>
        <v>0</v>
      </c>
      <c r="AY2731" s="94" t="s">
        <v>207</v>
      </c>
      <c r="AZ2731" s="94" t="s">
        <v>4034</v>
      </c>
      <c r="BA2731" s="88" t="s">
        <v>4024</v>
      </c>
      <c r="BC2731" s="93">
        <f>AW2731+AX2731</f>
        <v>0</v>
      </c>
      <c r="BD2731" s="93">
        <f>H2731/(100-BE2731)*100</f>
        <v>0</v>
      </c>
      <c r="BE2731" s="93">
        <v>0</v>
      </c>
      <c r="BF2731" s="93">
        <f>O2731</f>
        <v>13.4525553</v>
      </c>
      <c r="BH2731" s="93">
        <f>G2731*AO2731</f>
        <v>0</v>
      </c>
      <c r="BI2731" s="93">
        <f>G2731*AP2731</f>
        <v>0</v>
      </c>
      <c r="BJ2731" s="93">
        <f>G2731*H2731</f>
        <v>0</v>
      </c>
      <c r="BK2731" s="93"/>
      <c r="BL2731" s="93">
        <v>21</v>
      </c>
      <c r="BW2731" s="93" t="str">
        <f>I2731</f>
        <v>21</v>
      </c>
      <c r="BX2731" s="2" t="s">
        <v>212</v>
      </c>
    </row>
    <row r="2732" spans="1:76" s="81" customFormat="1" ht="13.5" customHeight="1" x14ac:dyDescent="0.25">
      <c r="A2732" s="110"/>
      <c r="B2732" s="95"/>
      <c r="C2732" s="95"/>
      <c r="D2732" s="179" t="s">
        <v>214</v>
      </c>
      <c r="E2732" s="179"/>
      <c r="F2732" s="179"/>
      <c r="G2732" s="179"/>
      <c r="H2732" s="179"/>
      <c r="I2732" s="179"/>
      <c r="J2732" s="179"/>
      <c r="K2732" s="179"/>
      <c r="L2732" s="179"/>
      <c r="M2732" s="179"/>
      <c r="N2732" s="179"/>
      <c r="O2732" s="179"/>
      <c r="P2732" s="179"/>
    </row>
    <row r="2733" spans="1:76" s="81" customFormat="1" x14ac:dyDescent="0.25">
      <c r="A2733" s="110"/>
      <c r="B2733" s="95"/>
      <c r="C2733" s="95"/>
      <c r="D2733" s="76" t="s">
        <v>54</v>
      </c>
      <c r="E2733" s="76" t="s">
        <v>4025</v>
      </c>
      <c r="F2733" s="95"/>
      <c r="G2733" s="96">
        <v>0</v>
      </c>
      <c r="H2733" s="95"/>
      <c r="I2733" s="95"/>
      <c r="J2733" s="95"/>
      <c r="K2733" s="95"/>
      <c r="L2733" s="95"/>
      <c r="M2733" s="95"/>
      <c r="N2733" s="95"/>
      <c r="O2733" s="95"/>
      <c r="P2733" s="95"/>
    </row>
    <row r="2734" spans="1:76" s="81" customFormat="1" x14ac:dyDescent="0.25">
      <c r="A2734" s="110"/>
      <c r="B2734" s="95"/>
      <c r="C2734" s="95"/>
      <c r="D2734" s="76" t="s">
        <v>4035</v>
      </c>
      <c r="E2734" s="76" t="s">
        <v>54</v>
      </c>
      <c r="F2734" s="95"/>
      <c r="G2734" s="96">
        <v>31.63</v>
      </c>
      <c r="H2734" s="95"/>
      <c r="I2734" s="95"/>
      <c r="J2734" s="95"/>
      <c r="K2734" s="95"/>
      <c r="L2734" s="95"/>
      <c r="M2734" s="95"/>
      <c r="N2734" s="95"/>
      <c r="O2734" s="95"/>
      <c r="P2734" s="95"/>
    </row>
    <row r="2735" spans="1:76" s="81" customFormat="1" x14ac:dyDescent="0.25">
      <c r="A2735" s="109" t="s">
        <v>54</v>
      </c>
      <c r="B2735" s="74" t="s">
        <v>4018</v>
      </c>
      <c r="C2735" s="74" t="s">
        <v>217</v>
      </c>
      <c r="D2735" s="180" t="s">
        <v>218</v>
      </c>
      <c r="E2735" s="180"/>
      <c r="F2735" s="85" t="s">
        <v>4</v>
      </c>
      <c r="G2735" s="85" t="s">
        <v>4</v>
      </c>
      <c r="H2735" s="85" t="s">
        <v>4</v>
      </c>
      <c r="I2735" s="85" t="s">
        <v>4</v>
      </c>
      <c r="J2735" s="86">
        <f>SUM(J2736:J2744)</f>
        <v>0</v>
      </c>
      <c r="K2735" s="86">
        <f>SUM(K2736:K2744)</f>
        <v>0</v>
      </c>
      <c r="L2735" s="86">
        <f>SUM(L2736:L2744)</f>
        <v>0</v>
      </c>
      <c r="M2735" s="86">
        <f>SUM(M2736:M2744)</f>
        <v>0</v>
      </c>
      <c r="N2735" s="87" t="s">
        <v>54</v>
      </c>
      <c r="O2735" s="86">
        <f>SUM(O2736:O2744)</f>
        <v>51.137790000000003</v>
      </c>
      <c r="P2735" s="87" t="s">
        <v>54</v>
      </c>
      <c r="AI2735" s="88" t="s">
        <v>4018</v>
      </c>
      <c r="AS2735" s="89">
        <f>SUM(AJ2736:AJ2744)</f>
        <v>0</v>
      </c>
      <c r="AT2735" s="89">
        <f>SUM(AK2736:AK2744)</f>
        <v>0</v>
      </c>
      <c r="AU2735" s="89">
        <f>SUM(AL2736:AL2744)</f>
        <v>0</v>
      </c>
    </row>
    <row r="2736" spans="1:76" s="81" customFormat="1" x14ac:dyDescent="0.25">
      <c r="A2736" s="66" t="s">
        <v>4063</v>
      </c>
      <c r="B2736" s="72" t="s">
        <v>4018</v>
      </c>
      <c r="C2736" s="72" t="s">
        <v>4037</v>
      </c>
      <c r="D2736" s="174" t="s">
        <v>4038</v>
      </c>
      <c r="E2736" s="174"/>
      <c r="F2736" s="72" t="s">
        <v>62</v>
      </c>
      <c r="G2736" s="90">
        <v>19.71</v>
      </c>
      <c r="H2736" s="91"/>
      <c r="I2736" s="92" t="s">
        <v>63</v>
      </c>
      <c r="J2736" s="90">
        <f>G2736*AO2736</f>
        <v>0</v>
      </c>
      <c r="K2736" s="90">
        <f>G2736*AP2736</f>
        <v>0</v>
      </c>
      <c r="L2736" s="90">
        <f>G2736*H2736</f>
        <v>0</v>
      </c>
      <c r="M2736" s="90">
        <f>L2736*(1+BW2736/100)</f>
        <v>0</v>
      </c>
      <c r="N2736" s="90">
        <v>2.5249999999999999</v>
      </c>
      <c r="O2736" s="90">
        <f>G2736*N2736</f>
        <v>49.767749999999999</v>
      </c>
      <c r="P2736" s="92" t="s">
        <v>64</v>
      </c>
      <c r="Z2736" s="93">
        <f>IF(AQ2736="5",BJ2736,0)</f>
        <v>0</v>
      </c>
      <c r="AB2736" s="93">
        <f>IF(AQ2736="1",BH2736,0)</f>
        <v>0</v>
      </c>
      <c r="AC2736" s="93">
        <f>IF(AQ2736="1",BI2736,0)</f>
        <v>0</v>
      </c>
      <c r="AD2736" s="93">
        <f>IF(AQ2736="7",BH2736,0)</f>
        <v>0</v>
      </c>
      <c r="AE2736" s="93">
        <f>IF(AQ2736="7",BI2736,0)</f>
        <v>0</v>
      </c>
      <c r="AF2736" s="93">
        <f>IF(AQ2736="2",BH2736,0)</f>
        <v>0</v>
      </c>
      <c r="AG2736" s="93">
        <f>IF(AQ2736="2",BI2736,0)</f>
        <v>0</v>
      </c>
      <c r="AH2736" s="93">
        <f>IF(AQ2736="0",BJ2736,0)</f>
        <v>0</v>
      </c>
      <c r="AI2736" s="88" t="s">
        <v>4018</v>
      </c>
      <c r="AJ2736" s="93">
        <f>IF(AN2736=0,L2736,0)</f>
        <v>0</v>
      </c>
      <c r="AK2736" s="93">
        <f>IF(AN2736=12,L2736,0)</f>
        <v>0</v>
      </c>
      <c r="AL2736" s="93">
        <f>IF(AN2736=21,L2736,0)</f>
        <v>0</v>
      </c>
      <c r="AN2736" s="93">
        <v>21</v>
      </c>
      <c r="AO2736" s="93">
        <f>H2736*0.921287105</f>
        <v>0</v>
      </c>
      <c r="AP2736" s="93">
        <f>H2736*(1-0.921287105)</f>
        <v>0</v>
      </c>
      <c r="AQ2736" s="94" t="s">
        <v>59</v>
      </c>
      <c r="AV2736" s="93">
        <f>AW2736+AX2736</f>
        <v>0</v>
      </c>
      <c r="AW2736" s="93">
        <f>G2736*AO2736</f>
        <v>0</v>
      </c>
      <c r="AX2736" s="93">
        <f>G2736*AP2736</f>
        <v>0</v>
      </c>
      <c r="AY2736" s="94" t="s">
        <v>223</v>
      </c>
      <c r="AZ2736" s="94" t="s">
        <v>4034</v>
      </c>
      <c r="BA2736" s="88" t="s">
        <v>4024</v>
      </c>
      <c r="BC2736" s="93">
        <f>AW2736+AX2736</f>
        <v>0</v>
      </c>
      <c r="BD2736" s="93">
        <f>H2736/(100-BE2736)*100</f>
        <v>0</v>
      </c>
      <c r="BE2736" s="93">
        <v>0</v>
      </c>
      <c r="BF2736" s="93">
        <f>O2736</f>
        <v>49.767749999999999</v>
      </c>
      <c r="BH2736" s="93">
        <f>G2736*AO2736</f>
        <v>0</v>
      </c>
      <c r="BI2736" s="93">
        <f>G2736*AP2736</f>
        <v>0</v>
      </c>
      <c r="BJ2736" s="93">
        <f>G2736*H2736</f>
        <v>0</v>
      </c>
      <c r="BK2736" s="93"/>
      <c r="BL2736" s="93">
        <v>27</v>
      </c>
      <c r="BW2736" s="93" t="str">
        <f>I2736</f>
        <v>21</v>
      </c>
      <c r="BX2736" s="2" t="s">
        <v>4038</v>
      </c>
    </row>
    <row r="2737" spans="1:76" s="81" customFormat="1" x14ac:dyDescent="0.25">
      <c r="A2737" s="110"/>
      <c r="B2737" s="95"/>
      <c r="C2737" s="95"/>
      <c r="D2737" s="76" t="s">
        <v>54</v>
      </c>
      <c r="E2737" s="76" t="s">
        <v>4025</v>
      </c>
      <c r="F2737" s="95"/>
      <c r="G2737" s="96">
        <v>0</v>
      </c>
      <c r="H2737" s="95"/>
      <c r="I2737" s="95"/>
      <c r="J2737" s="95"/>
      <c r="K2737" s="95"/>
      <c r="L2737" s="95"/>
      <c r="M2737" s="95"/>
      <c r="N2737" s="95"/>
      <c r="O2737" s="95"/>
      <c r="P2737" s="95"/>
    </row>
    <row r="2738" spans="1:76" s="81" customFormat="1" x14ac:dyDescent="0.25">
      <c r="A2738" s="110"/>
      <c r="B2738" s="95"/>
      <c r="C2738" s="95"/>
      <c r="D2738" s="76" t="s">
        <v>4039</v>
      </c>
      <c r="E2738" s="76" t="s">
        <v>54</v>
      </c>
      <c r="F2738" s="95"/>
      <c r="G2738" s="96">
        <v>19.2</v>
      </c>
      <c r="H2738" s="95"/>
      <c r="I2738" s="95"/>
      <c r="J2738" s="95"/>
      <c r="K2738" s="95"/>
      <c r="L2738" s="95"/>
      <c r="M2738" s="95"/>
      <c r="N2738" s="95"/>
      <c r="O2738" s="95"/>
      <c r="P2738" s="95"/>
    </row>
    <row r="2739" spans="1:76" s="81" customFormat="1" x14ac:dyDescent="0.25">
      <c r="A2739" s="110"/>
      <c r="B2739" s="95"/>
      <c r="C2739" s="95"/>
      <c r="D2739" s="76" t="s">
        <v>4040</v>
      </c>
      <c r="E2739" s="76" t="s">
        <v>54</v>
      </c>
      <c r="F2739" s="95"/>
      <c r="G2739" s="96">
        <v>0.51</v>
      </c>
      <c r="H2739" s="95"/>
      <c r="I2739" s="95"/>
      <c r="J2739" s="95"/>
      <c r="K2739" s="95"/>
      <c r="L2739" s="95"/>
      <c r="M2739" s="95"/>
      <c r="N2739" s="95"/>
      <c r="O2739" s="95"/>
      <c r="P2739" s="95"/>
    </row>
    <row r="2740" spans="1:76" s="81" customFormat="1" x14ac:dyDescent="0.25">
      <c r="A2740" s="66" t="s">
        <v>4067</v>
      </c>
      <c r="B2740" s="72" t="s">
        <v>4018</v>
      </c>
      <c r="C2740" s="72" t="s">
        <v>4042</v>
      </c>
      <c r="D2740" s="174" t="s">
        <v>4043</v>
      </c>
      <c r="E2740" s="174"/>
      <c r="F2740" s="72" t="s">
        <v>192</v>
      </c>
      <c r="G2740" s="90">
        <v>34.950000000000003</v>
      </c>
      <c r="H2740" s="91"/>
      <c r="I2740" s="92" t="s">
        <v>63</v>
      </c>
      <c r="J2740" s="90">
        <f>G2740*AO2740</f>
        <v>0</v>
      </c>
      <c r="K2740" s="90">
        <f>G2740*AP2740</f>
        <v>0</v>
      </c>
      <c r="L2740" s="90">
        <f>G2740*H2740</f>
        <v>0</v>
      </c>
      <c r="M2740" s="90">
        <f>L2740*(1+BW2740/100)</f>
        <v>0</v>
      </c>
      <c r="N2740" s="90">
        <v>3.9199999999999999E-2</v>
      </c>
      <c r="O2740" s="90">
        <f>G2740*N2740</f>
        <v>1.3700400000000001</v>
      </c>
      <c r="P2740" s="92" t="s">
        <v>64</v>
      </c>
      <c r="Z2740" s="93">
        <f>IF(AQ2740="5",BJ2740,0)</f>
        <v>0</v>
      </c>
      <c r="AB2740" s="93">
        <f>IF(AQ2740="1",BH2740,0)</f>
        <v>0</v>
      </c>
      <c r="AC2740" s="93">
        <f>IF(AQ2740="1",BI2740,0)</f>
        <v>0</v>
      </c>
      <c r="AD2740" s="93">
        <f>IF(AQ2740="7",BH2740,0)</f>
        <v>0</v>
      </c>
      <c r="AE2740" s="93">
        <f>IF(AQ2740="7",BI2740,0)</f>
        <v>0</v>
      </c>
      <c r="AF2740" s="93">
        <f>IF(AQ2740="2",BH2740,0)</f>
        <v>0</v>
      </c>
      <c r="AG2740" s="93">
        <f>IF(AQ2740="2",BI2740,0)</f>
        <v>0</v>
      </c>
      <c r="AH2740" s="93">
        <f>IF(AQ2740="0",BJ2740,0)</f>
        <v>0</v>
      </c>
      <c r="AI2740" s="88" t="s">
        <v>4018</v>
      </c>
      <c r="AJ2740" s="93">
        <f>IF(AN2740=0,L2740,0)</f>
        <v>0</v>
      </c>
      <c r="AK2740" s="93">
        <f>IF(AN2740=12,L2740,0)</f>
        <v>0</v>
      </c>
      <c r="AL2740" s="93">
        <f>IF(AN2740=21,L2740,0)</f>
        <v>0</v>
      </c>
      <c r="AN2740" s="93">
        <v>21</v>
      </c>
      <c r="AO2740" s="93">
        <f>H2740*0.340205479</f>
        <v>0</v>
      </c>
      <c r="AP2740" s="93">
        <f>H2740*(1-0.340205479)</f>
        <v>0</v>
      </c>
      <c r="AQ2740" s="94" t="s">
        <v>59</v>
      </c>
      <c r="AV2740" s="93">
        <f>AW2740+AX2740</f>
        <v>0</v>
      </c>
      <c r="AW2740" s="93">
        <f>G2740*AO2740</f>
        <v>0</v>
      </c>
      <c r="AX2740" s="93">
        <f>G2740*AP2740</f>
        <v>0</v>
      </c>
      <c r="AY2740" s="94" t="s">
        <v>223</v>
      </c>
      <c r="AZ2740" s="94" t="s">
        <v>4034</v>
      </c>
      <c r="BA2740" s="88" t="s">
        <v>4024</v>
      </c>
      <c r="BC2740" s="93">
        <f>AW2740+AX2740</f>
        <v>0</v>
      </c>
      <c r="BD2740" s="93">
        <f>H2740/(100-BE2740)*100</f>
        <v>0</v>
      </c>
      <c r="BE2740" s="93">
        <v>0</v>
      </c>
      <c r="BF2740" s="93">
        <f>O2740</f>
        <v>1.3700400000000001</v>
      </c>
      <c r="BH2740" s="93">
        <f>G2740*AO2740</f>
        <v>0</v>
      </c>
      <c r="BI2740" s="93">
        <f>G2740*AP2740</f>
        <v>0</v>
      </c>
      <c r="BJ2740" s="93">
        <f>G2740*H2740</f>
        <v>0</v>
      </c>
      <c r="BK2740" s="93"/>
      <c r="BL2740" s="93">
        <v>27</v>
      </c>
      <c r="BW2740" s="93" t="str">
        <f>I2740</f>
        <v>21</v>
      </c>
      <c r="BX2740" s="2" t="s">
        <v>4043</v>
      </c>
    </row>
    <row r="2741" spans="1:76" s="81" customFormat="1" x14ac:dyDescent="0.25">
      <c r="A2741" s="110"/>
      <c r="B2741" s="95"/>
      <c r="C2741" s="95"/>
      <c r="D2741" s="76" t="s">
        <v>54</v>
      </c>
      <c r="E2741" s="76" t="s">
        <v>4044</v>
      </c>
      <c r="F2741" s="95"/>
      <c r="G2741" s="96">
        <v>0</v>
      </c>
      <c r="H2741" s="95"/>
      <c r="I2741" s="95"/>
      <c r="J2741" s="95"/>
      <c r="K2741" s="95"/>
      <c r="L2741" s="95"/>
      <c r="M2741" s="95"/>
      <c r="N2741" s="95"/>
      <c r="O2741" s="95"/>
      <c r="P2741" s="95"/>
    </row>
    <row r="2742" spans="1:76" s="81" customFormat="1" x14ac:dyDescent="0.25">
      <c r="A2742" s="110"/>
      <c r="B2742" s="95"/>
      <c r="C2742" s="95"/>
      <c r="D2742" s="76" t="s">
        <v>4045</v>
      </c>
      <c r="E2742" s="76" t="s">
        <v>54</v>
      </c>
      <c r="F2742" s="95"/>
      <c r="G2742" s="96">
        <v>31.2</v>
      </c>
      <c r="H2742" s="95"/>
      <c r="I2742" s="95"/>
      <c r="J2742" s="95"/>
      <c r="K2742" s="95"/>
      <c r="L2742" s="95"/>
      <c r="M2742" s="95"/>
      <c r="N2742" s="95"/>
      <c r="O2742" s="95"/>
      <c r="P2742" s="95"/>
    </row>
    <row r="2743" spans="1:76" s="81" customFormat="1" x14ac:dyDescent="0.25">
      <c r="A2743" s="110"/>
      <c r="B2743" s="95"/>
      <c r="C2743" s="95"/>
      <c r="D2743" s="76" t="s">
        <v>4046</v>
      </c>
      <c r="E2743" s="76" t="s">
        <v>54</v>
      </c>
      <c r="F2743" s="95"/>
      <c r="G2743" s="96">
        <v>3.75</v>
      </c>
      <c r="H2743" s="95"/>
      <c r="I2743" s="95"/>
      <c r="J2743" s="95"/>
      <c r="K2743" s="95"/>
      <c r="L2743" s="95"/>
      <c r="M2743" s="95"/>
      <c r="N2743" s="95"/>
      <c r="O2743" s="95"/>
      <c r="P2743" s="95"/>
    </row>
    <row r="2744" spans="1:76" s="81" customFormat="1" x14ac:dyDescent="0.25">
      <c r="A2744" s="66" t="s">
        <v>4069</v>
      </c>
      <c r="B2744" s="72" t="s">
        <v>4018</v>
      </c>
      <c r="C2744" s="72" t="s">
        <v>4048</v>
      </c>
      <c r="D2744" s="174" t="s">
        <v>4049</v>
      </c>
      <c r="E2744" s="174"/>
      <c r="F2744" s="72" t="s">
        <v>192</v>
      </c>
      <c r="G2744" s="90">
        <v>34.950000000000003</v>
      </c>
      <c r="H2744" s="91"/>
      <c r="I2744" s="92" t="s">
        <v>63</v>
      </c>
      <c r="J2744" s="90">
        <f>G2744*AO2744</f>
        <v>0</v>
      </c>
      <c r="K2744" s="90">
        <f>G2744*AP2744</f>
        <v>0</v>
      </c>
      <c r="L2744" s="90">
        <f>G2744*H2744</f>
        <v>0</v>
      </c>
      <c r="M2744" s="90">
        <f>L2744*(1+BW2744/100)</f>
        <v>0</v>
      </c>
      <c r="N2744" s="90">
        <v>0</v>
      </c>
      <c r="O2744" s="90">
        <f>G2744*N2744</f>
        <v>0</v>
      </c>
      <c r="P2744" s="92" t="s">
        <v>64</v>
      </c>
      <c r="Z2744" s="93">
        <f>IF(AQ2744="5",BJ2744,0)</f>
        <v>0</v>
      </c>
      <c r="AB2744" s="93">
        <f>IF(AQ2744="1",BH2744,0)</f>
        <v>0</v>
      </c>
      <c r="AC2744" s="93">
        <f>IF(AQ2744="1",BI2744,0)</f>
        <v>0</v>
      </c>
      <c r="AD2744" s="93">
        <f>IF(AQ2744="7",BH2744,0)</f>
        <v>0</v>
      </c>
      <c r="AE2744" s="93">
        <f>IF(AQ2744="7",BI2744,0)</f>
        <v>0</v>
      </c>
      <c r="AF2744" s="93">
        <f>IF(AQ2744="2",BH2744,0)</f>
        <v>0</v>
      </c>
      <c r="AG2744" s="93">
        <f>IF(AQ2744="2",BI2744,0)</f>
        <v>0</v>
      </c>
      <c r="AH2744" s="93">
        <f>IF(AQ2744="0",BJ2744,0)</f>
        <v>0</v>
      </c>
      <c r="AI2744" s="88" t="s">
        <v>4018</v>
      </c>
      <c r="AJ2744" s="93">
        <f>IF(AN2744=0,L2744,0)</f>
        <v>0</v>
      </c>
      <c r="AK2744" s="93">
        <f>IF(AN2744=12,L2744,0)</f>
        <v>0</v>
      </c>
      <c r="AL2744" s="93">
        <f>IF(AN2744=21,L2744,0)</f>
        <v>0</v>
      </c>
      <c r="AN2744" s="93">
        <v>21</v>
      </c>
      <c r="AO2744" s="93">
        <f>H2744*0</f>
        <v>0</v>
      </c>
      <c r="AP2744" s="93">
        <f>H2744*(1-0)</f>
        <v>0</v>
      </c>
      <c r="AQ2744" s="94" t="s">
        <v>59</v>
      </c>
      <c r="AV2744" s="93">
        <f>AW2744+AX2744</f>
        <v>0</v>
      </c>
      <c r="AW2744" s="93">
        <f>G2744*AO2744</f>
        <v>0</v>
      </c>
      <c r="AX2744" s="93">
        <f>G2744*AP2744</f>
        <v>0</v>
      </c>
      <c r="AY2744" s="94" t="s">
        <v>223</v>
      </c>
      <c r="AZ2744" s="94" t="s">
        <v>4034</v>
      </c>
      <c r="BA2744" s="88" t="s">
        <v>4024</v>
      </c>
      <c r="BC2744" s="93">
        <f>AW2744+AX2744</f>
        <v>0</v>
      </c>
      <c r="BD2744" s="93">
        <f>H2744/(100-BE2744)*100</f>
        <v>0</v>
      </c>
      <c r="BE2744" s="93">
        <v>0</v>
      </c>
      <c r="BF2744" s="93">
        <f>O2744</f>
        <v>0</v>
      </c>
      <c r="BH2744" s="93">
        <f>G2744*AO2744</f>
        <v>0</v>
      </c>
      <c r="BI2744" s="93">
        <f>G2744*AP2744</f>
        <v>0</v>
      </c>
      <c r="BJ2744" s="93">
        <f>G2744*H2744</f>
        <v>0</v>
      </c>
      <c r="BK2744" s="93"/>
      <c r="BL2744" s="93">
        <v>27</v>
      </c>
      <c r="BW2744" s="93" t="str">
        <f>I2744</f>
        <v>21</v>
      </c>
      <c r="BX2744" s="2" t="s">
        <v>4049</v>
      </c>
    </row>
    <row r="2745" spans="1:76" s="81" customFormat="1" x14ac:dyDescent="0.25">
      <c r="A2745" s="109" t="s">
        <v>54</v>
      </c>
      <c r="B2745" s="74" t="s">
        <v>4018</v>
      </c>
      <c r="C2745" s="74" t="s">
        <v>521</v>
      </c>
      <c r="D2745" s="180" t="s">
        <v>4050</v>
      </c>
      <c r="E2745" s="180"/>
      <c r="F2745" s="85" t="s">
        <v>4</v>
      </c>
      <c r="G2745" s="85" t="s">
        <v>4</v>
      </c>
      <c r="H2745" s="85" t="s">
        <v>4</v>
      </c>
      <c r="I2745" s="85" t="s">
        <v>4</v>
      </c>
      <c r="J2745" s="86">
        <f>SUM(J2746:J2746)</f>
        <v>0</v>
      </c>
      <c r="K2745" s="86">
        <f>SUM(K2746:K2746)</f>
        <v>0</v>
      </c>
      <c r="L2745" s="86">
        <f>SUM(L2746:L2746)</f>
        <v>0</v>
      </c>
      <c r="M2745" s="86">
        <f>SUM(M2746:M2746)</f>
        <v>0</v>
      </c>
      <c r="N2745" s="87" t="s">
        <v>54</v>
      </c>
      <c r="O2745" s="86">
        <f>SUM(O2746:O2746)</f>
        <v>317.49175513999995</v>
      </c>
      <c r="P2745" s="87" t="s">
        <v>54</v>
      </c>
      <c r="AI2745" s="88" t="s">
        <v>4018</v>
      </c>
      <c r="AS2745" s="89">
        <f>SUM(AJ2746:AJ2746)</f>
        <v>0</v>
      </c>
      <c r="AT2745" s="89">
        <f>SUM(AK2746:AK2746)</f>
        <v>0</v>
      </c>
      <c r="AU2745" s="89">
        <f>SUM(AL2746:AL2746)</f>
        <v>0</v>
      </c>
    </row>
    <row r="2746" spans="1:76" s="81" customFormat="1" ht="25.5" x14ac:dyDescent="0.25">
      <c r="A2746" s="66" t="s">
        <v>4075</v>
      </c>
      <c r="B2746" s="72" t="s">
        <v>4018</v>
      </c>
      <c r="C2746" s="72" t="s">
        <v>4052</v>
      </c>
      <c r="D2746" s="174" t="s">
        <v>4053</v>
      </c>
      <c r="E2746" s="174"/>
      <c r="F2746" s="72" t="s">
        <v>192</v>
      </c>
      <c r="G2746" s="90">
        <v>277.23694999999998</v>
      </c>
      <c r="H2746" s="91"/>
      <c r="I2746" s="92" t="s">
        <v>63</v>
      </c>
      <c r="J2746" s="90">
        <f>G2746*AO2746</f>
        <v>0</v>
      </c>
      <c r="K2746" s="90">
        <f>G2746*AP2746</f>
        <v>0</v>
      </c>
      <c r="L2746" s="90">
        <f>G2746*H2746</f>
        <v>0</v>
      </c>
      <c r="M2746" s="90">
        <f>L2746*(1+BW2746/100)</f>
        <v>0</v>
      </c>
      <c r="N2746" s="90">
        <v>1.1452</v>
      </c>
      <c r="O2746" s="90">
        <f>G2746*N2746</f>
        <v>317.49175513999995</v>
      </c>
      <c r="P2746" s="92" t="s">
        <v>64</v>
      </c>
      <c r="Z2746" s="93">
        <f>IF(AQ2746="5",BJ2746,0)</f>
        <v>0</v>
      </c>
      <c r="AB2746" s="93">
        <f>IF(AQ2746="1",BH2746,0)</f>
        <v>0</v>
      </c>
      <c r="AC2746" s="93">
        <f>IF(AQ2746="1",BI2746,0)</f>
        <v>0</v>
      </c>
      <c r="AD2746" s="93">
        <f>IF(AQ2746="7",BH2746,0)</f>
        <v>0</v>
      </c>
      <c r="AE2746" s="93">
        <f>IF(AQ2746="7",BI2746,0)</f>
        <v>0</v>
      </c>
      <c r="AF2746" s="93">
        <f>IF(AQ2746="2",BH2746,0)</f>
        <v>0</v>
      </c>
      <c r="AG2746" s="93">
        <f>IF(AQ2746="2",BI2746,0)</f>
        <v>0</v>
      </c>
      <c r="AH2746" s="93">
        <f>IF(AQ2746="0",BJ2746,0)</f>
        <v>0</v>
      </c>
      <c r="AI2746" s="88" t="s">
        <v>4018</v>
      </c>
      <c r="AJ2746" s="93">
        <f>IF(AN2746=0,L2746,0)</f>
        <v>0</v>
      </c>
      <c r="AK2746" s="93">
        <f>IF(AN2746=12,L2746,0)</f>
        <v>0</v>
      </c>
      <c r="AL2746" s="93">
        <f>IF(AN2746=21,L2746,0)</f>
        <v>0</v>
      </c>
      <c r="AN2746" s="93">
        <v>21</v>
      </c>
      <c r="AO2746" s="93">
        <f>H2746*0.751832365</f>
        <v>0</v>
      </c>
      <c r="AP2746" s="93">
        <f>H2746*(1-0.751832365)</f>
        <v>0</v>
      </c>
      <c r="AQ2746" s="94" t="s">
        <v>59</v>
      </c>
      <c r="AV2746" s="93">
        <f>AW2746+AX2746</f>
        <v>0</v>
      </c>
      <c r="AW2746" s="93">
        <f>G2746*AO2746</f>
        <v>0</v>
      </c>
      <c r="AX2746" s="93">
        <f>G2746*AP2746</f>
        <v>0</v>
      </c>
      <c r="AY2746" s="94" t="s">
        <v>4054</v>
      </c>
      <c r="AZ2746" s="94" t="s">
        <v>4055</v>
      </c>
      <c r="BA2746" s="88" t="s">
        <v>4024</v>
      </c>
      <c r="BC2746" s="93">
        <f>AW2746+AX2746</f>
        <v>0</v>
      </c>
      <c r="BD2746" s="93">
        <f>H2746/(100-BE2746)*100</f>
        <v>0</v>
      </c>
      <c r="BE2746" s="93">
        <v>0</v>
      </c>
      <c r="BF2746" s="93">
        <f>O2746</f>
        <v>317.49175513999995</v>
      </c>
      <c r="BH2746" s="93">
        <f>G2746*AO2746</f>
        <v>0</v>
      </c>
      <c r="BI2746" s="93">
        <f>G2746*AP2746</f>
        <v>0</v>
      </c>
      <c r="BJ2746" s="93">
        <f>G2746*H2746</f>
        <v>0</v>
      </c>
      <c r="BK2746" s="93"/>
      <c r="BL2746" s="93">
        <v>58</v>
      </c>
      <c r="BW2746" s="93" t="str">
        <f>I2746</f>
        <v>21</v>
      </c>
      <c r="BX2746" s="2" t="s">
        <v>4053</v>
      </c>
    </row>
    <row r="2747" spans="1:76" s="81" customFormat="1" x14ac:dyDescent="0.25">
      <c r="A2747" s="110"/>
      <c r="B2747" s="95"/>
      <c r="C2747" s="95"/>
      <c r="D2747" s="76" t="s">
        <v>54</v>
      </c>
      <c r="E2747" s="76" t="s">
        <v>4025</v>
      </c>
      <c r="F2747" s="95"/>
      <c r="G2747" s="96">
        <v>0</v>
      </c>
      <c r="H2747" s="95"/>
      <c r="I2747" s="95"/>
      <c r="J2747" s="95"/>
      <c r="K2747" s="95"/>
      <c r="L2747" s="95"/>
      <c r="M2747" s="95"/>
      <c r="N2747" s="95"/>
      <c r="O2747" s="95"/>
      <c r="P2747" s="95"/>
    </row>
    <row r="2748" spans="1:76" s="81" customFormat="1" x14ac:dyDescent="0.25">
      <c r="A2748" s="110"/>
      <c r="B2748" s="95"/>
      <c r="C2748" s="95"/>
      <c r="D2748" s="76" t="s">
        <v>4056</v>
      </c>
      <c r="E2748" s="76" t="s">
        <v>54</v>
      </c>
      <c r="F2748" s="95"/>
      <c r="G2748" s="96">
        <v>277.23694999999998</v>
      </c>
      <c r="H2748" s="95"/>
      <c r="I2748" s="95"/>
      <c r="J2748" s="95"/>
      <c r="K2748" s="95"/>
      <c r="L2748" s="95"/>
      <c r="M2748" s="95"/>
      <c r="N2748" s="95"/>
      <c r="O2748" s="95"/>
      <c r="P2748" s="95"/>
    </row>
    <row r="2749" spans="1:76" s="81" customFormat="1" x14ac:dyDescent="0.25">
      <c r="A2749" s="109" t="s">
        <v>54</v>
      </c>
      <c r="B2749" s="74" t="s">
        <v>4018</v>
      </c>
      <c r="C2749" s="74" t="s">
        <v>525</v>
      </c>
      <c r="D2749" s="180" t="s">
        <v>855</v>
      </c>
      <c r="E2749" s="180"/>
      <c r="F2749" s="85" t="s">
        <v>4</v>
      </c>
      <c r="G2749" s="85" t="s">
        <v>4</v>
      </c>
      <c r="H2749" s="85" t="s">
        <v>4</v>
      </c>
      <c r="I2749" s="85" t="s">
        <v>4</v>
      </c>
      <c r="J2749" s="86">
        <f>SUM(J2750:J2750)</f>
        <v>0</v>
      </c>
      <c r="K2749" s="86">
        <f>SUM(K2750:K2750)</f>
        <v>0</v>
      </c>
      <c r="L2749" s="86">
        <f>SUM(L2750:L2750)</f>
        <v>0</v>
      </c>
      <c r="M2749" s="86">
        <f>SUM(M2750:M2750)</f>
        <v>0</v>
      </c>
      <c r="N2749" s="87" t="s">
        <v>54</v>
      </c>
      <c r="O2749" s="86">
        <f>SUM(O2750:O2750)</f>
        <v>2.9890349999999999</v>
      </c>
      <c r="P2749" s="87" t="s">
        <v>54</v>
      </c>
      <c r="AI2749" s="88" t="s">
        <v>4018</v>
      </c>
      <c r="AS2749" s="89">
        <f>SUM(AJ2750:AJ2750)</f>
        <v>0</v>
      </c>
      <c r="AT2749" s="89">
        <f>SUM(AK2750:AK2750)</f>
        <v>0</v>
      </c>
      <c r="AU2749" s="89">
        <f>SUM(AL2750:AL2750)</f>
        <v>0</v>
      </c>
    </row>
    <row r="2750" spans="1:76" s="81" customFormat="1" x14ac:dyDescent="0.25">
      <c r="A2750" s="66" t="s">
        <v>4082</v>
      </c>
      <c r="B2750" s="72" t="s">
        <v>4018</v>
      </c>
      <c r="C2750" s="72" t="s">
        <v>857</v>
      </c>
      <c r="D2750" s="174" t="s">
        <v>4058</v>
      </c>
      <c r="E2750" s="174"/>
      <c r="F2750" s="72" t="s">
        <v>213</v>
      </c>
      <c r="G2750" s="90">
        <v>31.63</v>
      </c>
      <c r="H2750" s="91"/>
      <c r="I2750" s="92" t="s">
        <v>63</v>
      </c>
      <c r="J2750" s="90">
        <f>G2750*AO2750</f>
        <v>0</v>
      </c>
      <c r="K2750" s="90">
        <f>G2750*AP2750</f>
        <v>0</v>
      </c>
      <c r="L2750" s="90">
        <f>G2750*H2750</f>
        <v>0</v>
      </c>
      <c r="M2750" s="90">
        <f>L2750*(1+BW2750/100)</f>
        <v>0</v>
      </c>
      <c r="N2750" s="90">
        <v>9.4500000000000001E-2</v>
      </c>
      <c r="O2750" s="90">
        <f>G2750*N2750</f>
        <v>2.9890349999999999</v>
      </c>
      <c r="P2750" s="92" t="s">
        <v>371</v>
      </c>
      <c r="Z2750" s="93">
        <f>IF(AQ2750="5",BJ2750,0)</f>
        <v>0</v>
      </c>
      <c r="AB2750" s="93">
        <f>IF(AQ2750="1",BH2750,0)</f>
        <v>0</v>
      </c>
      <c r="AC2750" s="93">
        <f>IF(AQ2750="1",BI2750,0)</f>
        <v>0</v>
      </c>
      <c r="AD2750" s="93">
        <f>IF(AQ2750="7",BH2750,0)</f>
        <v>0</v>
      </c>
      <c r="AE2750" s="93">
        <f>IF(AQ2750="7",BI2750,0)</f>
        <v>0</v>
      </c>
      <c r="AF2750" s="93">
        <f>IF(AQ2750="2",BH2750,0)</f>
        <v>0</v>
      </c>
      <c r="AG2750" s="93">
        <f>IF(AQ2750="2",BI2750,0)</f>
        <v>0</v>
      </c>
      <c r="AH2750" s="93">
        <f>IF(AQ2750="0",BJ2750,0)</f>
        <v>0</v>
      </c>
      <c r="AI2750" s="88" t="s">
        <v>4018</v>
      </c>
      <c r="AJ2750" s="93">
        <f>IF(AN2750=0,L2750,0)</f>
        <v>0</v>
      </c>
      <c r="AK2750" s="93">
        <f>IF(AN2750=12,L2750,0)</f>
        <v>0</v>
      </c>
      <c r="AL2750" s="93">
        <f>IF(AN2750=21,L2750,0)</f>
        <v>0</v>
      </c>
      <c r="AN2750" s="93">
        <v>21</v>
      </c>
      <c r="AO2750" s="93">
        <f>H2750*0.94824796</f>
        <v>0</v>
      </c>
      <c r="AP2750" s="93">
        <f>H2750*(1-0.94824796)</f>
        <v>0</v>
      </c>
      <c r="AQ2750" s="94" t="s">
        <v>59</v>
      </c>
      <c r="AV2750" s="93">
        <f>AW2750+AX2750</f>
        <v>0</v>
      </c>
      <c r="AW2750" s="93">
        <f>G2750*AO2750</f>
        <v>0</v>
      </c>
      <c r="AX2750" s="93">
        <f>G2750*AP2750</f>
        <v>0</v>
      </c>
      <c r="AY2750" s="94" t="s">
        <v>859</v>
      </c>
      <c r="AZ2750" s="94" t="s">
        <v>4055</v>
      </c>
      <c r="BA2750" s="88" t="s">
        <v>4024</v>
      </c>
      <c r="BC2750" s="93">
        <f>AW2750+AX2750</f>
        <v>0</v>
      </c>
      <c r="BD2750" s="93">
        <f>H2750/(100-BE2750)*100</f>
        <v>0</v>
      </c>
      <c r="BE2750" s="93">
        <v>0</v>
      </c>
      <c r="BF2750" s="93">
        <f>O2750</f>
        <v>2.9890349999999999</v>
      </c>
      <c r="BH2750" s="93">
        <f>G2750*AO2750</f>
        <v>0</v>
      </c>
      <c r="BI2750" s="93">
        <f>G2750*AP2750</f>
        <v>0</v>
      </c>
      <c r="BJ2750" s="93">
        <f>G2750*H2750</f>
        <v>0</v>
      </c>
      <c r="BK2750" s="93"/>
      <c r="BL2750" s="93">
        <v>59</v>
      </c>
      <c r="BW2750" s="93" t="str">
        <f>I2750</f>
        <v>21</v>
      </c>
      <c r="BX2750" s="2" t="s">
        <v>4058</v>
      </c>
    </row>
    <row r="2751" spans="1:76" s="81" customFormat="1" x14ac:dyDescent="0.25">
      <c r="A2751" s="110"/>
      <c r="B2751" s="95"/>
      <c r="C2751" s="95"/>
      <c r="D2751" s="76" t="s">
        <v>4035</v>
      </c>
      <c r="E2751" s="76" t="s">
        <v>4025</v>
      </c>
      <c r="F2751" s="95"/>
      <c r="G2751" s="96">
        <v>31.63</v>
      </c>
      <c r="H2751" s="95"/>
      <c r="I2751" s="95"/>
      <c r="J2751" s="95"/>
      <c r="K2751" s="95"/>
      <c r="L2751" s="95"/>
      <c r="M2751" s="95"/>
      <c r="N2751" s="95"/>
      <c r="O2751" s="95"/>
      <c r="P2751" s="95"/>
    </row>
    <row r="2752" spans="1:76" s="81" customFormat="1" x14ac:dyDescent="0.25">
      <c r="A2752" s="109" t="s">
        <v>54</v>
      </c>
      <c r="B2752" s="74" t="s">
        <v>4018</v>
      </c>
      <c r="C2752" s="74" t="s">
        <v>852</v>
      </c>
      <c r="D2752" s="180" t="s">
        <v>1348</v>
      </c>
      <c r="E2752" s="180"/>
      <c r="F2752" s="85" t="s">
        <v>4</v>
      </c>
      <c r="G2752" s="85" t="s">
        <v>4</v>
      </c>
      <c r="H2752" s="85" t="s">
        <v>4</v>
      </c>
      <c r="I2752" s="85" t="s">
        <v>4</v>
      </c>
      <c r="J2752" s="86">
        <f>SUM(J2753:J2753)</f>
        <v>0</v>
      </c>
      <c r="K2752" s="86">
        <f>SUM(K2753:K2753)</f>
        <v>0</v>
      </c>
      <c r="L2752" s="86">
        <f>SUM(L2753:L2753)</f>
        <v>0</v>
      </c>
      <c r="M2752" s="86">
        <f>SUM(M2753:M2753)</f>
        <v>0</v>
      </c>
      <c r="N2752" s="87" t="s">
        <v>54</v>
      </c>
      <c r="O2752" s="86">
        <f>SUM(O2753:O2753)</f>
        <v>0</v>
      </c>
      <c r="P2752" s="87" t="s">
        <v>54</v>
      </c>
      <c r="AI2752" s="88" t="s">
        <v>4018</v>
      </c>
      <c r="AS2752" s="89">
        <f>SUM(AJ2753:AJ2753)</f>
        <v>0</v>
      </c>
      <c r="AT2752" s="89">
        <f>SUM(AK2753:AK2753)</f>
        <v>0</v>
      </c>
      <c r="AU2752" s="89">
        <f>SUM(AL2753:AL2753)</f>
        <v>0</v>
      </c>
    </row>
    <row r="2753" spans="1:76" s="81" customFormat="1" x14ac:dyDescent="0.25">
      <c r="A2753" s="66" t="s">
        <v>4088</v>
      </c>
      <c r="B2753" s="72" t="s">
        <v>4018</v>
      </c>
      <c r="C2753" s="72" t="s">
        <v>4060</v>
      </c>
      <c r="D2753" s="174" t="s">
        <v>4061</v>
      </c>
      <c r="E2753" s="174"/>
      <c r="F2753" s="72" t="s">
        <v>222</v>
      </c>
      <c r="G2753" s="90">
        <v>385.0711</v>
      </c>
      <c r="H2753" s="91"/>
      <c r="I2753" s="92" t="s">
        <v>63</v>
      </c>
      <c r="J2753" s="90">
        <f>G2753*AO2753</f>
        <v>0</v>
      </c>
      <c r="K2753" s="90">
        <f>G2753*AP2753</f>
        <v>0</v>
      </c>
      <c r="L2753" s="90">
        <f>G2753*H2753</f>
        <v>0</v>
      </c>
      <c r="M2753" s="90">
        <f>L2753*(1+BW2753/100)</f>
        <v>0</v>
      </c>
      <c r="N2753" s="90">
        <v>0</v>
      </c>
      <c r="O2753" s="90">
        <f>G2753*N2753</f>
        <v>0</v>
      </c>
      <c r="P2753" s="92" t="s">
        <v>64</v>
      </c>
      <c r="Z2753" s="93">
        <f>IF(AQ2753="5",BJ2753,0)</f>
        <v>0</v>
      </c>
      <c r="AB2753" s="93">
        <f>IF(AQ2753="1",BH2753,0)</f>
        <v>0</v>
      </c>
      <c r="AC2753" s="93">
        <f>IF(AQ2753="1",BI2753,0)</f>
        <v>0</v>
      </c>
      <c r="AD2753" s="93">
        <f>IF(AQ2753="7",BH2753,0)</f>
        <v>0</v>
      </c>
      <c r="AE2753" s="93">
        <f>IF(AQ2753="7",BI2753,0)</f>
        <v>0</v>
      </c>
      <c r="AF2753" s="93">
        <f>IF(AQ2753="2",BH2753,0)</f>
        <v>0</v>
      </c>
      <c r="AG2753" s="93">
        <f>IF(AQ2753="2",BI2753,0)</f>
        <v>0</v>
      </c>
      <c r="AH2753" s="93">
        <f>IF(AQ2753="0",BJ2753,0)</f>
        <v>0</v>
      </c>
      <c r="AI2753" s="88" t="s">
        <v>4018</v>
      </c>
      <c r="AJ2753" s="93">
        <f>IF(AN2753=0,L2753,0)</f>
        <v>0</v>
      </c>
      <c r="AK2753" s="93">
        <f>IF(AN2753=12,L2753,0)</f>
        <v>0</v>
      </c>
      <c r="AL2753" s="93">
        <f>IF(AN2753=21,L2753,0)</f>
        <v>0</v>
      </c>
      <c r="AN2753" s="93">
        <v>21</v>
      </c>
      <c r="AO2753" s="93">
        <f>H2753*0</f>
        <v>0</v>
      </c>
      <c r="AP2753" s="93">
        <f>H2753*(1-0)</f>
        <v>0</v>
      </c>
      <c r="AQ2753" s="94" t="s">
        <v>136</v>
      </c>
      <c r="AV2753" s="93">
        <f>AW2753+AX2753</f>
        <v>0</v>
      </c>
      <c r="AW2753" s="93">
        <f>G2753*AO2753</f>
        <v>0</v>
      </c>
      <c r="AX2753" s="93">
        <f>G2753*AP2753</f>
        <v>0</v>
      </c>
      <c r="AY2753" s="94" t="s">
        <v>1352</v>
      </c>
      <c r="AZ2753" s="94" t="s">
        <v>4062</v>
      </c>
      <c r="BA2753" s="88" t="s">
        <v>4024</v>
      </c>
      <c r="BC2753" s="93">
        <f>AW2753+AX2753</f>
        <v>0</v>
      </c>
      <c r="BD2753" s="93">
        <f>H2753/(100-BE2753)*100</f>
        <v>0</v>
      </c>
      <c r="BE2753" s="93">
        <v>0</v>
      </c>
      <c r="BF2753" s="93">
        <f>O2753</f>
        <v>0</v>
      </c>
      <c r="BH2753" s="93">
        <f>G2753*AO2753</f>
        <v>0</v>
      </c>
      <c r="BI2753" s="93">
        <f>G2753*AP2753</f>
        <v>0</v>
      </c>
      <c r="BJ2753" s="93">
        <f>G2753*H2753</f>
        <v>0</v>
      </c>
      <c r="BK2753" s="93"/>
      <c r="BL2753" s="93">
        <v>99</v>
      </c>
      <c r="BW2753" s="93" t="str">
        <f>I2753</f>
        <v>21</v>
      </c>
      <c r="BX2753" s="2" t="s">
        <v>4061</v>
      </c>
    </row>
    <row r="2754" spans="1:76" s="81" customFormat="1" x14ac:dyDescent="0.25">
      <c r="A2754" s="108" t="s">
        <v>54</v>
      </c>
      <c r="B2754" s="73" t="s">
        <v>4018</v>
      </c>
      <c r="C2754" s="73" t="s">
        <v>54</v>
      </c>
      <c r="D2754" s="184" t="s">
        <v>1353</v>
      </c>
      <c r="E2754" s="184"/>
      <c r="F2754" s="82" t="s">
        <v>4</v>
      </c>
      <c r="G2754" s="82" t="s">
        <v>4</v>
      </c>
      <c r="H2754" s="82" t="s">
        <v>4</v>
      </c>
      <c r="I2754" s="82" t="s">
        <v>4</v>
      </c>
      <c r="J2754" s="83">
        <f>J2755</f>
        <v>0</v>
      </c>
      <c r="K2754" s="83">
        <f>K2755</f>
        <v>0</v>
      </c>
      <c r="L2754" s="83">
        <f>L2755</f>
        <v>0</v>
      </c>
      <c r="M2754" s="83">
        <f>M2755</f>
        <v>0</v>
      </c>
      <c r="N2754" s="84" t="s">
        <v>54</v>
      </c>
      <c r="O2754" s="83">
        <f>O2755</f>
        <v>0</v>
      </c>
      <c r="P2754" s="84" t="s">
        <v>54</v>
      </c>
    </row>
    <row r="2755" spans="1:76" s="81" customFormat="1" x14ac:dyDescent="0.25">
      <c r="A2755" s="109" t="s">
        <v>54</v>
      </c>
      <c r="B2755" s="74" t="s">
        <v>4018</v>
      </c>
      <c r="C2755" s="74" t="s">
        <v>2505</v>
      </c>
      <c r="D2755" s="180" t="s">
        <v>2506</v>
      </c>
      <c r="E2755" s="180"/>
      <c r="F2755" s="85" t="s">
        <v>4</v>
      </c>
      <c r="G2755" s="85" t="s">
        <v>4</v>
      </c>
      <c r="H2755" s="85" t="s">
        <v>4</v>
      </c>
      <c r="I2755" s="85" t="s">
        <v>4</v>
      </c>
      <c r="J2755" s="86">
        <f>SUM(J2756:J2761)</f>
        <v>0</v>
      </c>
      <c r="K2755" s="86">
        <f>SUM(K2756:K2761)</f>
        <v>0</v>
      </c>
      <c r="L2755" s="86">
        <f>SUM(L2756:L2761)</f>
        <v>0</v>
      </c>
      <c r="M2755" s="86">
        <f>SUM(M2756:M2761)</f>
        <v>0</v>
      </c>
      <c r="N2755" s="87" t="s">
        <v>54</v>
      </c>
      <c r="O2755" s="86">
        <f>SUM(O2756:O2761)</f>
        <v>0</v>
      </c>
      <c r="P2755" s="87" t="s">
        <v>54</v>
      </c>
      <c r="AI2755" s="88" t="s">
        <v>4018</v>
      </c>
      <c r="AS2755" s="89">
        <f>SUM(AJ2756:AJ2761)</f>
        <v>0</v>
      </c>
      <c r="AT2755" s="89">
        <f>SUM(AK2756:AK2761)</f>
        <v>0</v>
      </c>
      <c r="AU2755" s="89">
        <f>SUM(AL2756:AL2761)</f>
        <v>0</v>
      </c>
    </row>
    <row r="2756" spans="1:76" s="81" customFormat="1" ht="25.5" x14ac:dyDescent="0.25">
      <c r="A2756" s="66" t="s">
        <v>4096</v>
      </c>
      <c r="B2756" s="72" t="s">
        <v>4018</v>
      </c>
      <c r="C2756" s="72" t="s">
        <v>2548</v>
      </c>
      <c r="D2756" s="174" t="s">
        <v>4064</v>
      </c>
      <c r="E2756" s="174"/>
      <c r="F2756" s="72" t="s">
        <v>213</v>
      </c>
      <c r="G2756" s="90">
        <v>31.63</v>
      </c>
      <c r="H2756" s="91"/>
      <c r="I2756" s="92" t="s">
        <v>63</v>
      </c>
      <c r="J2756" s="90">
        <f>G2756*AO2756</f>
        <v>0</v>
      </c>
      <c r="K2756" s="90">
        <f>G2756*AP2756</f>
        <v>0</v>
      </c>
      <c r="L2756" s="90">
        <f>G2756*H2756</f>
        <v>0</v>
      </c>
      <c r="M2756" s="90">
        <f>L2756*(1+BW2756/100)</f>
        <v>0</v>
      </c>
      <c r="N2756" s="90">
        <v>0</v>
      </c>
      <c r="O2756" s="90">
        <f>G2756*N2756</f>
        <v>0</v>
      </c>
      <c r="P2756" s="92" t="s">
        <v>578</v>
      </c>
      <c r="Z2756" s="93">
        <f>IF(AQ2756="5",BJ2756,0)</f>
        <v>0</v>
      </c>
      <c r="AB2756" s="93">
        <f>IF(AQ2756="1",BH2756,0)</f>
        <v>0</v>
      </c>
      <c r="AC2756" s="93">
        <f>IF(AQ2756="1",BI2756,0)</f>
        <v>0</v>
      </c>
      <c r="AD2756" s="93">
        <f>IF(AQ2756="7",BH2756,0)</f>
        <v>0</v>
      </c>
      <c r="AE2756" s="93">
        <f>IF(AQ2756="7",BI2756,0)</f>
        <v>0</v>
      </c>
      <c r="AF2756" s="93">
        <f>IF(AQ2756="2",BH2756,0)</f>
        <v>0</v>
      </c>
      <c r="AG2756" s="93">
        <f>IF(AQ2756="2",BI2756,0)</f>
        <v>0</v>
      </c>
      <c r="AH2756" s="93">
        <f>IF(AQ2756="0",BJ2756,0)</f>
        <v>0</v>
      </c>
      <c r="AI2756" s="88" t="s">
        <v>4018</v>
      </c>
      <c r="AJ2756" s="93">
        <f>IF(AN2756=0,L2756,0)</f>
        <v>0</v>
      </c>
      <c r="AK2756" s="93">
        <f>IF(AN2756=12,L2756,0)</f>
        <v>0</v>
      </c>
      <c r="AL2756" s="93">
        <f>IF(AN2756=21,L2756,0)</f>
        <v>0</v>
      </c>
      <c r="AN2756" s="93">
        <v>21</v>
      </c>
      <c r="AO2756" s="93">
        <f>H2756*0.329042929</f>
        <v>0</v>
      </c>
      <c r="AP2756" s="93">
        <f>H2756*(1-0.329042929)</f>
        <v>0</v>
      </c>
      <c r="AQ2756" s="94" t="s">
        <v>148</v>
      </c>
      <c r="AV2756" s="93">
        <f>AW2756+AX2756</f>
        <v>0</v>
      </c>
      <c r="AW2756" s="93">
        <f>G2756*AO2756</f>
        <v>0</v>
      </c>
      <c r="AX2756" s="93">
        <f>G2756*AP2756</f>
        <v>0</v>
      </c>
      <c r="AY2756" s="94" t="s">
        <v>2510</v>
      </c>
      <c r="AZ2756" s="94" t="s">
        <v>4065</v>
      </c>
      <c r="BA2756" s="88" t="s">
        <v>4024</v>
      </c>
      <c r="BC2756" s="93">
        <f>AW2756+AX2756</f>
        <v>0</v>
      </c>
      <c r="BD2756" s="93">
        <f>H2756/(100-BE2756)*100</f>
        <v>0</v>
      </c>
      <c r="BE2756" s="93">
        <v>0</v>
      </c>
      <c r="BF2756" s="93">
        <f>O2756</f>
        <v>0</v>
      </c>
      <c r="BH2756" s="93">
        <f>G2756*AO2756</f>
        <v>0</v>
      </c>
      <c r="BI2756" s="93">
        <f>G2756*AP2756</f>
        <v>0</v>
      </c>
      <c r="BJ2756" s="93">
        <f>G2756*H2756</f>
        <v>0</v>
      </c>
      <c r="BK2756" s="93"/>
      <c r="BL2756" s="93">
        <v>767</v>
      </c>
      <c r="BW2756" s="93" t="str">
        <f>I2756</f>
        <v>21</v>
      </c>
      <c r="BX2756" s="2" t="s">
        <v>4064</v>
      </c>
    </row>
    <row r="2757" spans="1:76" s="81" customFormat="1" ht="13.5" customHeight="1" x14ac:dyDescent="0.25">
      <c r="A2757" s="110"/>
      <c r="B2757" s="95"/>
      <c r="C2757" s="95"/>
      <c r="D2757" s="179" t="s">
        <v>4066</v>
      </c>
      <c r="E2757" s="179"/>
      <c r="F2757" s="179"/>
      <c r="G2757" s="179"/>
      <c r="H2757" s="179"/>
      <c r="I2757" s="179"/>
      <c r="J2757" s="179"/>
      <c r="K2757" s="179"/>
      <c r="L2757" s="179"/>
      <c r="M2757" s="179"/>
      <c r="N2757" s="179"/>
      <c r="O2757" s="179"/>
      <c r="P2757" s="179"/>
    </row>
    <row r="2758" spans="1:76" s="81" customFormat="1" x14ac:dyDescent="0.25">
      <c r="A2758" s="110"/>
      <c r="B2758" s="95"/>
      <c r="C2758" s="95"/>
      <c r="D2758" s="76" t="s">
        <v>4035</v>
      </c>
      <c r="E2758" s="76" t="s">
        <v>4025</v>
      </c>
      <c r="F2758" s="95"/>
      <c r="G2758" s="96">
        <v>31.63</v>
      </c>
      <c r="H2758" s="95"/>
      <c r="I2758" s="95"/>
      <c r="J2758" s="95"/>
      <c r="K2758" s="95"/>
      <c r="L2758" s="95"/>
      <c r="M2758" s="95"/>
      <c r="N2758" s="95"/>
      <c r="O2758" s="95"/>
      <c r="P2758" s="95"/>
    </row>
    <row r="2759" spans="1:76" s="81" customFormat="1" ht="25.5" x14ac:dyDescent="0.25">
      <c r="A2759" s="66" t="s">
        <v>4099</v>
      </c>
      <c r="B2759" s="72" t="s">
        <v>4018</v>
      </c>
      <c r="C2759" s="72" t="s">
        <v>2548</v>
      </c>
      <c r="D2759" s="174" t="s">
        <v>4068</v>
      </c>
      <c r="E2759" s="174"/>
      <c r="F2759" s="72" t="s">
        <v>203</v>
      </c>
      <c r="G2759" s="90">
        <v>1</v>
      </c>
      <c r="H2759" s="91"/>
      <c r="I2759" s="92" t="s">
        <v>63</v>
      </c>
      <c r="J2759" s="90">
        <f>G2759*AO2759</f>
        <v>0</v>
      </c>
      <c r="K2759" s="90">
        <f>G2759*AP2759</f>
        <v>0</v>
      </c>
      <c r="L2759" s="90">
        <f>G2759*H2759</f>
        <v>0</v>
      </c>
      <c r="M2759" s="90">
        <f>L2759*(1+BW2759/100)</f>
        <v>0</v>
      </c>
      <c r="N2759" s="90">
        <v>0</v>
      </c>
      <c r="O2759" s="90">
        <f>G2759*N2759</f>
        <v>0</v>
      </c>
      <c r="P2759" s="92" t="s">
        <v>578</v>
      </c>
      <c r="Z2759" s="93">
        <f>IF(AQ2759="5",BJ2759,0)</f>
        <v>0</v>
      </c>
      <c r="AB2759" s="93">
        <f>IF(AQ2759="1",BH2759,0)</f>
        <v>0</v>
      </c>
      <c r="AC2759" s="93">
        <f>IF(AQ2759="1",BI2759,0)</f>
        <v>0</v>
      </c>
      <c r="AD2759" s="93">
        <f>IF(AQ2759="7",BH2759,0)</f>
        <v>0</v>
      </c>
      <c r="AE2759" s="93">
        <f>IF(AQ2759="7",BI2759,0)</f>
        <v>0</v>
      </c>
      <c r="AF2759" s="93">
        <f>IF(AQ2759="2",BH2759,0)</f>
        <v>0</v>
      </c>
      <c r="AG2759" s="93">
        <f>IF(AQ2759="2",BI2759,0)</f>
        <v>0</v>
      </c>
      <c r="AH2759" s="93">
        <f>IF(AQ2759="0",BJ2759,0)</f>
        <v>0</v>
      </c>
      <c r="AI2759" s="88" t="s">
        <v>4018</v>
      </c>
      <c r="AJ2759" s="93">
        <f>IF(AN2759=0,L2759,0)</f>
        <v>0</v>
      </c>
      <c r="AK2759" s="93">
        <f>IF(AN2759=12,L2759,0)</f>
        <v>0</v>
      </c>
      <c r="AL2759" s="93">
        <f>IF(AN2759=21,L2759,0)</f>
        <v>0</v>
      </c>
      <c r="AN2759" s="93">
        <v>21</v>
      </c>
      <c r="AO2759" s="93">
        <f>H2759*0.329042921</f>
        <v>0</v>
      </c>
      <c r="AP2759" s="93">
        <f>H2759*(1-0.329042921)</f>
        <v>0</v>
      </c>
      <c r="AQ2759" s="94" t="s">
        <v>148</v>
      </c>
      <c r="AV2759" s="93">
        <f>AW2759+AX2759</f>
        <v>0</v>
      </c>
      <c r="AW2759" s="93">
        <f>G2759*AO2759</f>
        <v>0</v>
      </c>
      <c r="AX2759" s="93">
        <f>G2759*AP2759</f>
        <v>0</v>
      </c>
      <c r="AY2759" s="94" t="s">
        <v>2510</v>
      </c>
      <c r="AZ2759" s="94" t="s">
        <v>4065</v>
      </c>
      <c r="BA2759" s="88" t="s">
        <v>4024</v>
      </c>
      <c r="BC2759" s="93">
        <f>AW2759+AX2759</f>
        <v>0</v>
      </c>
      <c r="BD2759" s="93">
        <f>H2759/(100-BE2759)*100</f>
        <v>0</v>
      </c>
      <c r="BE2759" s="93">
        <v>0</v>
      </c>
      <c r="BF2759" s="93">
        <f>O2759</f>
        <v>0</v>
      </c>
      <c r="BH2759" s="93">
        <f>G2759*AO2759</f>
        <v>0</v>
      </c>
      <c r="BI2759" s="93">
        <f>G2759*AP2759</f>
        <v>0</v>
      </c>
      <c r="BJ2759" s="93">
        <f>G2759*H2759</f>
        <v>0</v>
      </c>
      <c r="BK2759" s="93"/>
      <c r="BL2759" s="93">
        <v>767</v>
      </c>
      <c r="BW2759" s="93" t="str">
        <f>I2759</f>
        <v>21</v>
      </c>
      <c r="BX2759" s="2" t="s">
        <v>4068</v>
      </c>
    </row>
    <row r="2760" spans="1:76" s="81" customFormat="1" ht="13.5" customHeight="1" x14ac:dyDescent="0.25">
      <c r="A2760" s="110"/>
      <c r="B2760" s="95"/>
      <c r="C2760" s="95"/>
      <c r="D2760" s="179" t="s">
        <v>4066</v>
      </c>
      <c r="E2760" s="179"/>
      <c r="F2760" s="179"/>
      <c r="G2760" s="179"/>
      <c r="H2760" s="179"/>
      <c r="I2760" s="179"/>
      <c r="J2760" s="179"/>
      <c r="K2760" s="179"/>
      <c r="L2760" s="179"/>
      <c r="M2760" s="179"/>
      <c r="N2760" s="179"/>
      <c r="O2760" s="179"/>
      <c r="P2760" s="179"/>
    </row>
    <row r="2761" spans="1:76" s="81" customFormat="1" ht="25.5" x14ac:dyDescent="0.25">
      <c r="A2761" s="66" t="s">
        <v>4104</v>
      </c>
      <c r="B2761" s="72" t="s">
        <v>4018</v>
      </c>
      <c r="C2761" s="72" t="s">
        <v>4070</v>
      </c>
      <c r="D2761" s="174" t="s">
        <v>4071</v>
      </c>
      <c r="E2761" s="174"/>
      <c r="F2761" s="72" t="s">
        <v>1447</v>
      </c>
      <c r="G2761" s="91"/>
      <c r="H2761" s="91"/>
      <c r="I2761" s="92" t="s">
        <v>63</v>
      </c>
      <c r="J2761" s="90">
        <f>G2761*AO2761</f>
        <v>0</v>
      </c>
      <c r="K2761" s="90">
        <f>G2761*AP2761</f>
        <v>0</v>
      </c>
      <c r="L2761" s="90">
        <f>G2761*H2761</f>
        <v>0</v>
      </c>
      <c r="M2761" s="90">
        <f>L2761*(1+BW2761/100)</f>
        <v>0</v>
      </c>
      <c r="N2761" s="90">
        <v>0</v>
      </c>
      <c r="O2761" s="90">
        <f>G2761*N2761</f>
        <v>0</v>
      </c>
      <c r="P2761" s="92" t="s">
        <v>64</v>
      </c>
      <c r="Z2761" s="93">
        <f>IF(AQ2761="5",BJ2761,0)</f>
        <v>0</v>
      </c>
      <c r="AB2761" s="93">
        <f>IF(AQ2761="1",BH2761,0)</f>
        <v>0</v>
      </c>
      <c r="AC2761" s="93">
        <f>IF(AQ2761="1",BI2761,0)</f>
        <v>0</v>
      </c>
      <c r="AD2761" s="93">
        <f>IF(AQ2761="7",BH2761,0)</f>
        <v>0</v>
      </c>
      <c r="AE2761" s="93">
        <f>IF(AQ2761="7",BI2761,0)</f>
        <v>0</v>
      </c>
      <c r="AF2761" s="93">
        <f>IF(AQ2761="2",BH2761,0)</f>
        <v>0</v>
      </c>
      <c r="AG2761" s="93">
        <f>IF(AQ2761="2",BI2761,0)</f>
        <v>0</v>
      </c>
      <c r="AH2761" s="93">
        <f>IF(AQ2761="0",BJ2761,0)</f>
        <v>0</v>
      </c>
      <c r="AI2761" s="88" t="s">
        <v>4018</v>
      </c>
      <c r="AJ2761" s="93">
        <f>IF(AN2761=0,L2761,0)</f>
        <v>0</v>
      </c>
      <c r="AK2761" s="93">
        <f>IF(AN2761=12,L2761,0)</f>
        <v>0</v>
      </c>
      <c r="AL2761" s="93">
        <f>IF(AN2761=21,L2761,0)</f>
        <v>0</v>
      </c>
      <c r="AN2761" s="93">
        <v>21</v>
      </c>
      <c r="AO2761" s="93">
        <f>H2761*0</f>
        <v>0</v>
      </c>
      <c r="AP2761" s="93">
        <f>H2761*(1-0)</f>
        <v>0</v>
      </c>
      <c r="AQ2761" s="94" t="s">
        <v>136</v>
      </c>
      <c r="AV2761" s="93">
        <f>AW2761+AX2761</f>
        <v>0</v>
      </c>
      <c r="AW2761" s="93">
        <f>G2761*AO2761</f>
        <v>0</v>
      </c>
      <c r="AX2761" s="93">
        <f>G2761*AP2761</f>
        <v>0</v>
      </c>
      <c r="AY2761" s="94" t="s">
        <v>2510</v>
      </c>
      <c r="AZ2761" s="94" t="s">
        <v>4065</v>
      </c>
      <c r="BA2761" s="88" t="s">
        <v>4024</v>
      </c>
      <c r="BC2761" s="93">
        <f>AW2761+AX2761</f>
        <v>0</v>
      </c>
      <c r="BD2761" s="93">
        <f>H2761/(100-BE2761)*100</f>
        <v>0</v>
      </c>
      <c r="BE2761" s="93">
        <v>0</v>
      </c>
      <c r="BF2761" s="93">
        <f>O2761</f>
        <v>0</v>
      </c>
      <c r="BH2761" s="93">
        <f>G2761*AO2761</f>
        <v>0</v>
      </c>
      <c r="BI2761" s="93">
        <f>G2761*AP2761</f>
        <v>0</v>
      </c>
      <c r="BJ2761" s="93">
        <f>G2761*H2761</f>
        <v>0</v>
      </c>
      <c r="BK2761" s="93"/>
      <c r="BL2761" s="93">
        <v>767</v>
      </c>
      <c r="BW2761" s="93" t="str">
        <f>I2761</f>
        <v>21</v>
      </c>
      <c r="BX2761" s="2" t="s">
        <v>4071</v>
      </c>
    </row>
    <row r="2762" spans="1:76" s="81" customFormat="1" x14ac:dyDescent="0.25">
      <c r="A2762" s="109" t="s">
        <v>54</v>
      </c>
      <c r="B2762" s="74" t="s">
        <v>4072</v>
      </c>
      <c r="C2762" s="74" t="s">
        <v>54</v>
      </c>
      <c r="D2762" s="180" t="s">
        <v>4073</v>
      </c>
      <c r="E2762" s="180"/>
      <c r="F2762" s="85" t="s">
        <v>4</v>
      </c>
      <c r="G2762" s="85" t="s">
        <v>4</v>
      </c>
      <c r="H2762" s="85" t="s">
        <v>4</v>
      </c>
      <c r="I2762" s="85" t="s">
        <v>4</v>
      </c>
      <c r="J2762" s="86">
        <f>J2764+J2768+J2776+J2794+J2798+J2800+J2811+J2828+J2831+J2834+J2837+J2839+J2842+J2844+J2847+J2850</f>
        <v>0</v>
      </c>
      <c r="K2762" s="86">
        <f>K2764+K2768+K2776+K2794+K2798+K2800+K2811+K2828+K2831+K2834+K2837+K2839+K2842+K2844+K2847+K2850</f>
        <v>0</v>
      </c>
      <c r="L2762" s="86">
        <f>L2764+L2768+L2776+L2794+L2798+L2800+L2811+L2828+L2831+L2834+L2837+L2839+L2842+L2844+L2847+L2850</f>
        <v>0</v>
      </c>
      <c r="M2762" s="86">
        <f>M2764+M2768+M2776+M2794+M2798+M2800+M2811+M2828+M2831+M2834+M2837+M2839+M2842+M2844+M2847+M2850</f>
        <v>0</v>
      </c>
      <c r="N2762" s="87" t="s">
        <v>54</v>
      </c>
      <c r="O2762" s="86">
        <f>O2764+O2768+O2776+O2794+O2798+O2800+O2811+O2828+O2831+O2834+O2837+O2839+O2842+O2844+O2847+O2850</f>
        <v>4000.1700064269999</v>
      </c>
      <c r="P2762" s="87" t="s">
        <v>54</v>
      </c>
    </row>
    <row r="2763" spans="1:76" s="81" customFormat="1" x14ac:dyDescent="0.25">
      <c r="A2763" s="108" t="s">
        <v>54</v>
      </c>
      <c r="B2763" s="73" t="s">
        <v>4072</v>
      </c>
      <c r="C2763" s="73" t="s">
        <v>54</v>
      </c>
      <c r="D2763" s="184" t="s">
        <v>56</v>
      </c>
      <c r="E2763" s="184"/>
      <c r="F2763" s="82" t="s">
        <v>4</v>
      </c>
      <c r="G2763" s="82" t="s">
        <v>4</v>
      </c>
      <c r="H2763" s="82" t="s">
        <v>4</v>
      </c>
      <c r="I2763" s="82" t="s">
        <v>4</v>
      </c>
      <c r="J2763" s="83">
        <f>J2764+J2768+J2776+J2794+J2798+J2800+J2811+J2828+J2831+J2834+J2837+J2839+J2842+J2844</f>
        <v>0</v>
      </c>
      <c r="K2763" s="83">
        <f>K2764+K2768+K2776+K2794+K2798+K2800+K2811+K2828+K2831+K2834+K2837+K2839+K2842+K2844</f>
        <v>0</v>
      </c>
      <c r="L2763" s="83">
        <f>L2764+L2768+L2776+L2794+L2798+L2800+L2811+L2828+L2831+L2834+L2837+L2839+L2842+L2844</f>
        <v>0</v>
      </c>
      <c r="M2763" s="83">
        <f>M2764+M2768+M2776+M2794+M2798+M2800+M2811+M2828+M2831+M2834+M2837+M2839+M2842+M2844</f>
        <v>0</v>
      </c>
      <c r="N2763" s="84" t="s">
        <v>54</v>
      </c>
      <c r="O2763" s="83">
        <f>O2764+O2768+O2776+O2794+O2798+O2800+O2811+O2828+O2831+O2834+O2837+O2839+O2842+O2844</f>
        <v>4000.1700064269999</v>
      </c>
      <c r="P2763" s="84" t="s">
        <v>54</v>
      </c>
    </row>
    <row r="2764" spans="1:76" s="81" customFormat="1" x14ac:dyDescent="0.25">
      <c r="A2764" s="109" t="s">
        <v>54</v>
      </c>
      <c r="B2764" s="74" t="s">
        <v>4072</v>
      </c>
      <c r="C2764" s="74" t="s">
        <v>502</v>
      </c>
      <c r="D2764" s="180" t="s">
        <v>4074</v>
      </c>
      <c r="E2764" s="180"/>
      <c r="F2764" s="85" t="s">
        <v>4</v>
      </c>
      <c r="G2764" s="85" t="s">
        <v>4</v>
      </c>
      <c r="H2764" s="85" t="s">
        <v>4</v>
      </c>
      <c r="I2764" s="85" t="s">
        <v>4</v>
      </c>
      <c r="J2764" s="86">
        <f>SUM(J2765:J2765)</f>
        <v>0</v>
      </c>
      <c r="K2764" s="86">
        <f>SUM(K2765:K2765)</f>
        <v>0</v>
      </c>
      <c r="L2764" s="86">
        <f>SUM(L2765:L2765)</f>
        <v>0</v>
      </c>
      <c r="M2764" s="86">
        <f>SUM(M2765:M2765)</f>
        <v>0</v>
      </c>
      <c r="N2764" s="87" t="s">
        <v>54</v>
      </c>
      <c r="O2764" s="86">
        <f>SUM(O2765:O2765)</f>
        <v>563.01864</v>
      </c>
      <c r="P2764" s="87" t="s">
        <v>54</v>
      </c>
      <c r="AI2764" s="88" t="s">
        <v>4072</v>
      </c>
      <c r="AS2764" s="89">
        <f>SUM(AJ2765:AJ2765)</f>
        <v>0</v>
      </c>
      <c r="AT2764" s="89">
        <f>SUM(AK2765:AK2765)</f>
        <v>0</v>
      </c>
      <c r="AU2764" s="89">
        <f>SUM(AL2765:AL2765)</f>
        <v>0</v>
      </c>
    </row>
    <row r="2765" spans="1:76" s="81" customFormat="1" x14ac:dyDescent="0.25">
      <c r="A2765" s="66" t="s">
        <v>4109</v>
      </c>
      <c r="B2765" s="72" t="s">
        <v>4072</v>
      </c>
      <c r="C2765" s="72" t="s">
        <v>4076</v>
      </c>
      <c r="D2765" s="174" t="s">
        <v>4077</v>
      </c>
      <c r="E2765" s="174"/>
      <c r="F2765" s="72" t="s">
        <v>192</v>
      </c>
      <c r="G2765" s="90">
        <v>888</v>
      </c>
      <c r="H2765" s="91"/>
      <c r="I2765" s="92" t="s">
        <v>63</v>
      </c>
      <c r="J2765" s="90">
        <f>G2765*AO2765</f>
        <v>0</v>
      </c>
      <c r="K2765" s="90">
        <f>G2765*AP2765</f>
        <v>0</v>
      </c>
      <c r="L2765" s="90">
        <f>G2765*H2765</f>
        <v>0</v>
      </c>
      <c r="M2765" s="90">
        <f>L2765*(1+BW2765/100)</f>
        <v>0</v>
      </c>
      <c r="N2765" s="90">
        <v>0.63402999999999998</v>
      </c>
      <c r="O2765" s="90">
        <f>G2765*N2765</f>
        <v>563.01864</v>
      </c>
      <c r="P2765" s="92" t="s">
        <v>371</v>
      </c>
      <c r="Z2765" s="93">
        <f>IF(AQ2765="5",BJ2765,0)</f>
        <v>0</v>
      </c>
      <c r="AB2765" s="93">
        <f>IF(AQ2765="1",BH2765,0)</f>
        <v>0</v>
      </c>
      <c r="AC2765" s="93">
        <f>IF(AQ2765="1",BI2765,0)</f>
        <v>0</v>
      </c>
      <c r="AD2765" s="93">
        <f>IF(AQ2765="7",BH2765,0)</f>
        <v>0</v>
      </c>
      <c r="AE2765" s="93">
        <f>IF(AQ2765="7",BI2765,0)</f>
        <v>0</v>
      </c>
      <c r="AF2765" s="93">
        <f>IF(AQ2765="2",BH2765,0)</f>
        <v>0</v>
      </c>
      <c r="AG2765" s="93">
        <f>IF(AQ2765="2",BI2765,0)</f>
        <v>0</v>
      </c>
      <c r="AH2765" s="93">
        <f>IF(AQ2765="0",BJ2765,0)</f>
        <v>0</v>
      </c>
      <c r="AI2765" s="88" t="s">
        <v>4072</v>
      </c>
      <c r="AJ2765" s="93">
        <f>IF(AN2765=0,L2765,0)</f>
        <v>0</v>
      </c>
      <c r="AK2765" s="93">
        <f>IF(AN2765=12,L2765,0)</f>
        <v>0</v>
      </c>
      <c r="AL2765" s="93">
        <f>IF(AN2765=21,L2765,0)</f>
        <v>0</v>
      </c>
      <c r="AN2765" s="93">
        <v>21</v>
      </c>
      <c r="AO2765" s="93">
        <f>H2765*0.703909854</f>
        <v>0</v>
      </c>
      <c r="AP2765" s="93">
        <f>H2765*(1-0.703909854)</f>
        <v>0</v>
      </c>
      <c r="AQ2765" s="94" t="s">
        <v>59</v>
      </c>
      <c r="AV2765" s="93">
        <f>AW2765+AX2765</f>
        <v>0</v>
      </c>
      <c r="AW2765" s="93">
        <f>G2765*AO2765</f>
        <v>0</v>
      </c>
      <c r="AX2765" s="93">
        <f>G2765*AP2765</f>
        <v>0</v>
      </c>
      <c r="AY2765" s="94" t="s">
        <v>4078</v>
      </c>
      <c r="AZ2765" s="94" t="s">
        <v>4079</v>
      </c>
      <c r="BA2765" s="88" t="s">
        <v>4080</v>
      </c>
      <c r="BC2765" s="93">
        <f>AW2765+AX2765</f>
        <v>0</v>
      </c>
      <c r="BD2765" s="93">
        <f>H2765/(100-BE2765)*100</f>
        <v>0</v>
      </c>
      <c r="BE2765" s="93">
        <v>0</v>
      </c>
      <c r="BF2765" s="93">
        <f>O2765</f>
        <v>563.01864</v>
      </c>
      <c r="BH2765" s="93">
        <f>G2765*AO2765</f>
        <v>0</v>
      </c>
      <c r="BI2765" s="93">
        <f>G2765*AP2765</f>
        <v>0</v>
      </c>
      <c r="BJ2765" s="93">
        <f>G2765*H2765</f>
        <v>0</v>
      </c>
      <c r="BK2765" s="93"/>
      <c r="BL2765" s="93">
        <v>57</v>
      </c>
      <c r="BW2765" s="93" t="str">
        <f>I2765</f>
        <v>21</v>
      </c>
      <c r="BX2765" s="2" t="s">
        <v>4077</v>
      </c>
    </row>
    <row r="2766" spans="1:76" s="81" customFormat="1" x14ac:dyDescent="0.25">
      <c r="A2766" s="110"/>
      <c r="B2766" s="95"/>
      <c r="C2766" s="95"/>
      <c r="D2766" s="76" t="s">
        <v>54</v>
      </c>
      <c r="E2766" s="76" t="s">
        <v>4081</v>
      </c>
      <c r="F2766" s="95"/>
      <c r="G2766" s="96">
        <v>0</v>
      </c>
      <c r="H2766" s="95"/>
      <c r="I2766" s="95"/>
      <c r="J2766" s="95"/>
      <c r="K2766" s="95"/>
      <c r="L2766" s="95"/>
      <c r="M2766" s="95"/>
      <c r="N2766" s="95"/>
      <c r="O2766" s="95"/>
      <c r="P2766" s="95"/>
    </row>
    <row r="2767" spans="1:76" s="81" customFormat="1" x14ac:dyDescent="0.25">
      <c r="A2767" s="110"/>
      <c r="B2767" s="95"/>
      <c r="C2767" s="95"/>
      <c r="D2767" s="76" t="s">
        <v>3913</v>
      </c>
      <c r="E2767" s="76" t="s">
        <v>54</v>
      </c>
      <c r="F2767" s="95"/>
      <c r="G2767" s="96">
        <v>888</v>
      </c>
      <c r="H2767" s="95"/>
      <c r="I2767" s="95"/>
      <c r="J2767" s="95"/>
      <c r="K2767" s="95"/>
      <c r="L2767" s="95"/>
      <c r="M2767" s="95"/>
      <c r="N2767" s="95"/>
      <c r="O2767" s="95"/>
      <c r="P2767" s="95"/>
    </row>
    <row r="2768" spans="1:76" s="81" customFormat="1" x14ac:dyDescent="0.25">
      <c r="A2768" s="109" t="s">
        <v>54</v>
      </c>
      <c r="B2768" s="74" t="s">
        <v>4072</v>
      </c>
      <c r="C2768" s="74" t="s">
        <v>521</v>
      </c>
      <c r="D2768" s="180" t="s">
        <v>4050</v>
      </c>
      <c r="E2768" s="180"/>
      <c r="F2768" s="85" t="s">
        <v>4</v>
      </c>
      <c r="G2768" s="85" t="s">
        <v>4</v>
      </c>
      <c r="H2768" s="85" t="s">
        <v>4</v>
      </c>
      <c r="I2768" s="85" t="s">
        <v>4</v>
      </c>
      <c r="J2768" s="86">
        <f>SUM(J2769:J2769)</f>
        <v>0</v>
      </c>
      <c r="K2768" s="86">
        <f>SUM(K2769:K2769)</f>
        <v>0</v>
      </c>
      <c r="L2768" s="86">
        <f>SUM(L2769:L2769)</f>
        <v>0</v>
      </c>
      <c r="M2768" s="86">
        <f>SUM(M2769:M2769)</f>
        <v>0</v>
      </c>
      <c r="N2768" s="87" t="s">
        <v>54</v>
      </c>
      <c r="O2768" s="86">
        <f>SUM(O2769:O2769)</f>
        <v>1091.6435424440001</v>
      </c>
      <c r="P2768" s="87" t="s">
        <v>54</v>
      </c>
      <c r="AI2768" s="88" t="s">
        <v>4072</v>
      </c>
      <c r="AS2768" s="89">
        <f>SUM(AJ2769:AJ2769)</f>
        <v>0</v>
      </c>
      <c r="AT2768" s="89">
        <f>SUM(AK2769:AK2769)</f>
        <v>0</v>
      </c>
      <c r="AU2768" s="89">
        <f>SUM(AL2769:AL2769)</f>
        <v>0</v>
      </c>
    </row>
    <row r="2769" spans="1:76" s="81" customFormat="1" ht="25.5" x14ac:dyDescent="0.25">
      <c r="A2769" s="66" t="s">
        <v>4116</v>
      </c>
      <c r="B2769" s="72" t="s">
        <v>4072</v>
      </c>
      <c r="C2769" s="72" t="s">
        <v>4052</v>
      </c>
      <c r="D2769" s="174" t="s">
        <v>4083</v>
      </c>
      <c r="E2769" s="174"/>
      <c r="F2769" s="72" t="s">
        <v>192</v>
      </c>
      <c r="G2769" s="90">
        <v>953.23397</v>
      </c>
      <c r="H2769" s="91"/>
      <c r="I2769" s="92" t="s">
        <v>63</v>
      </c>
      <c r="J2769" s="90">
        <f>G2769*AO2769</f>
        <v>0</v>
      </c>
      <c r="K2769" s="90">
        <f>G2769*AP2769</f>
        <v>0</v>
      </c>
      <c r="L2769" s="90">
        <f>G2769*H2769</f>
        <v>0</v>
      </c>
      <c r="M2769" s="90">
        <f>L2769*(1+BW2769/100)</f>
        <v>0</v>
      </c>
      <c r="N2769" s="90">
        <v>1.1452</v>
      </c>
      <c r="O2769" s="90">
        <f>G2769*N2769</f>
        <v>1091.6435424440001</v>
      </c>
      <c r="P2769" s="92" t="s">
        <v>64</v>
      </c>
      <c r="Z2769" s="93">
        <f>IF(AQ2769="5",BJ2769,0)</f>
        <v>0</v>
      </c>
      <c r="AB2769" s="93">
        <f>IF(AQ2769="1",BH2769,0)</f>
        <v>0</v>
      </c>
      <c r="AC2769" s="93">
        <f>IF(AQ2769="1",BI2769,0)</f>
        <v>0</v>
      </c>
      <c r="AD2769" s="93">
        <f>IF(AQ2769="7",BH2769,0)</f>
        <v>0</v>
      </c>
      <c r="AE2769" s="93">
        <f>IF(AQ2769="7",BI2769,0)</f>
        <v>0</v>
      </c>
      <c r="AF2769" s="93">
        <f>IF(AQ2769="2",BH2769,0)</f>
        <v>0</v>
      </c>
      <c r="AG2769" s="93">
        <f>IF(AQ2769="2",BI2769,0)</f>
        <v>0</v>
      </c>
      <c r="AH2769" s="93">
        <f>IF(AQ2769="0",BJ2769,0)</f>
        <v>0</v>
      </c>
      <c r="AI2769" s="88" t="s">
        <v>4072</v>
      </c>
      <c r="AJ2769" s="93">
        <f>IF(AN2769=0,L2769,0)</f>
        <v>0</v>
      </c>
      <c r="AK2769" s="93">
        <f>IF(AN2769=12,L2769,0)</f>
        <v>0</v>
      </c>
      <c r="AL2769" s="93">
        <f>IF(AN2769=21,L2769,0)</f>
        <v>0</v>
      </c>
      <c r="AN2769" s="93">
        <v>21</v>
      </c>
      <c r="AO2769" s="93">
        <f>H2769*0.751832363</f>
        <v>0</v>
      </c>
      <c r="AP2769" s="93">
        <f>H2769*(1-0.751832363)</f>
        <v>0</v>
      </c>
      <c r="AQ2769" s="94" t="s">
        <v>59</v>
      </c>
      <c r="AV2769" s="93">
        <f>AW2769+AX2769</f>
        <v>0</v>
      </c>
      <c r="AW2769" s="93">
        <f>G2769*AO2769</f>
        <v>0</v>
      </c>
      <c r="AX2769" s="93">
        <f>G2769*AP2769</f>
        <v>0</v>
      </c>
      <c r="AY2769" s="94" t="s">
        <v>4054</v>
      </c>
      <c r="AZ2769" s="94" t="s">
        <v>4079</v>
      </c>
      <c r="BA2769" s="88" t="s">
        <v>4080</v>
      </c>
      <c r="BC2769" s="93">
        <f>AW2769+AX2769</f>
        <v>0</v>
      </c>
      <c r="BD2769" s="93">
        <f>H2769/(100-BE2769)*100</f>
        <v>0</v>
      </c>
      <c r="BE2769" s="93">
        <v>0</v>
      </c>
      <c r="BF2769" s="93">
        <f>O2769</f>
        <v>1091.6435424440001</v>
      </c>
      <c r="BH2769" s="93">
        <f>G2769*AO2769</f>
        <v>0</v>
      </c>
      <c r="BI2769" s="93">
        <f>G2769*AP2769</f>
        <v>0</v>
      </c>
      <c r="BJ2769" s="93">
        <f>G2769*H2769</f>
        <v>0</v>
      </c>
      <c r="BK2769" s="93"/>
      <c r="BL2769" s="93">
        <v>58</v>
      </c>
      <c r="BW2769" s="93" t="str">
        <f>I2769</f>
        <v>21</v>
      </c>
      <c r="BX2769" s="2" t="s">
        <v>4083</v>
      </c>
    </row>
    <row r="2770" spans="1:76" s="81" customFormat="1" x14ac:dyDescent="0.25">
      <c r="A2770" s="110"/>
      <c r="B2770" s="95"/>
      <c r="C2770" s="95"/>
      <c r="D2770" s="76" t="s">
        <v>54</v>
      </c>
      <c r="E2770" s="76" t="s">
        <v>215</v>
      </c>
      <c r="F2770" s="95"/>
      <c r="G2770" s="96">
        <v>0</v>
      </c>
      <c r="H2770" s="95"/>
      <c r="I2770" s="95"/>
      <c r="J2770" s="95"/>
      <c r="K2770" s="95"/>
      <c r="L2770" s="95"/>
      <c r="M2770" s="95"/>
      <c r="N2770" s="95"/>
      <c r="O2770" s="95"/>
      <c r="P2770" s="95"/>
    </row>
    <row r="2771" spans="1:76" s="81" customFormat="1" x14ac:dyDescent="0.25">
      <c r="A2771" s="110"/>
      <c r="B2771" s="95"/>
      <c r="C2771" s="95"/>
      <c r="D2771" s="76" t="s">
        <v>4084</v>
      </c>
      <c r="E2771" s="76" t="s">
        <v>54</v>
      </c>
      <c r="F2771" s="95"/>
      <c r="G2771" s="96">
        <v>42.898119999999999</v>
      </c>
      <c r="H2771" s="95"/>
      <c r="I2771" s="95"/>
      <c r="J2771" s="95"/>
      <c r="K2771" s="95"/>
      <c r="L2771" s="95"/>
      <c r="M2771" s="95"/>
      <c r="N2771" s="95"/>
      <c r="O2771" s="95"/>
      <c r="P2771" s="95"/>
    </row>
    <row r="2772" spans="1:76" s="81" customFormat="1" x14ac:dyDescent="0.25">
      <c r="A2772" s="110"/>
      <c r="B2772" s="95"/>
      <c r="C2772" s="95"/>
      <c r="D2772" s="76" t="s">
        <v>4085</v>
      </c>
      <c r="E2772" s="76" t="s">
        <v>54</v>
      </c>
      <c r="F2772" s="95"/>
      <c r="G2772" s="96">
        <v>19.630649999999999</v>
      </c>
      <c r="H2772" s="95"/>
      <c r="I2772" s="95"/>
      <c r="J2772" s="95"/>
      <c r="K2772" s="95"/>
      <c r="L2772" s="95"/>
      <c r="M2772" s="95"/>
      <c r="N2772" s="95"/>
      <c r="O2772" s="95"/>
      <c r="P2772" s="95"/>
    </row>
    <row r="2773" spans="1:76" s="81" customFormat="1" x14ac:dyDescent="0.25">
      <c r="A2773" s="110"/>
      <c r="B2773" s="95"/>
      <c r="C2773" s="95"/>
      <c r="D2773" s="76" t="s">
        <v>54</v>
      </c>
      <c r="E2773" s="76" t="s">
        <v>4081</v>
      </c>
      <c r="F2773" s="95"/>
      <c r="G2773" s="96">
        <v>0</v>
      </c>
      <c r="H2773" s="95"/>
      <c r="I2773" s="95"/>
      <c r="J2773" s="95"/>
      <c r="K2773" s="95"/>
      <c r="L2773" s="95"/>
      <c r="M2773" s="95"/>
      <c r="N2773" s="95"/>
      <c r="O2773" s="95"/>
      <c r="P2773" s="95"/>
    </row>
    <row r="2774" spans="1:76" s="81" customFormat="1" ht="38.25" x14ac:dyDescent="0.25">
      <c r="A2774" s="110"/>
      <c r="B2774" s="95"/>
      <c r="C2774" s="95"/>
      <c r="D2774" s="76" t="s">
        <v>4086</v>
      </c>
      <c r="E2774" s="76" t="s">
        <v>54</v>
      </c>
      <c r="F2774" s="95"/>
      <c r="G2774" s="96">
        <v>228.9402</v>
      </c>
      <c r="H2774" s="95"/>
      <c r="I2774" s="95"/>
      <c r="J2774" s="95"/>
      <c r="K2774" s="95"/>
      <c r="L2774" s="95"/>
      <c r="M2774" s="95"/>
      <c r="N2774" s="95"/>
      <c r="O2774" s="95"/>
      <c r="P2774" s="95"/>
    </row>
    <row r="2775" spans="1:76" s="81" customFormat="1" x14ac:dyDescent="0.25">
      <c r="A2775" s="110"/>
      <c r="B2775" s="95"/>
      <c r="C2775" s="95"/>
      <c r="D2775" s="76" t="s">
        <v>4087</v>
      </c>
      <c r="E2775" s="76" t="s">
        <v>54</v>
      </c>
      <c r="F2775" s="95"/>
      <c r="G2775" s="96">
        <v>661.76499999999999</v>
      </c>
      <c r="H2775" s="95"/>
      <c r="I2775" s="95"/>
      <c r="J2775" s="95"/>
      <c r="K2775" s="95"/>
      <c r="L2775" s="95"/>
      <c r="M2775" s="95"/>
      <c r="N2775" s="95"/>
      <c r="O2775" s="95"/>
      <c r="P2775" s="95"/>
    </row>
    <row r="2776" spans="1:76" s="81" customFormat="1" x14ac:dyDescent="0.25">
      <c r="A2776" s="109" t="s">
        <v>54</v>
      </c>
      <c r="B2776" s="74" t="s">
        <v>4072</v>
      </c>
      <c r="C2776" s="74" t="s">
        <v>525</v>
      </c>
      <c r="D2776" s="180" t="s">
        <v>855</v>
      </c>
      <c r="E2776" s="180"/>
      <c r="F2776" s="85" t="s">
        <v>4</v>
      </c>
      <c r="G2776" s="85" t="s">
        <v>4</v>
      </c>
      <c r="H2776" s="85" t="s">
        <v>4</v>
      </c>
      <c r="I2776" s="85" t="s">
        <v>4</v>
      </c>
      <c r="J2776" s="86">
        <f>SUM(J2777:J2790)</f>
        <v>0</v>
      </c>
      <c r="K2776" s="86">
        <f>SUM(K2777:K2790)</f>
        <v>0</v>
      </c>
      <c r="L2776" s="86">
        <f>SUM(L2777:L2790)</f>
        <v>0</v>
      </c>
      <c r="M2776" s="86">
        <f>SUM(M2777:M2790)</f>
        <v>0</v>
      </c>
      <c r="N2776" s="87" t="s">
        <v>54</v>
      </c>
      <c r="O2776" s="86">
        <f>SUM(O2777:O2790)</f>
        <v>648.33508518300005</v>
      </c>
      <c r="P2776" s="87" t="s">
        <v>54</v>
      </c>
      <c r="AI2776" s="88" t="s">
        <v>4072</v>
      </c>
      <c r="AS2776" s="89">
        <f>SUM(AJ2777:AJ2790)</f>
        <v>0</v>
      </c>
      <c r="AT2776" s="89">
        <f>SUM(AK2777:AK2790)</f>
        <v>0</v>
      </c>
      <c r="AU2776" s="89">
        <f>SUM(AL2777:AL2790)</f>
        <v>0</v>
      </c>
    </row>
    <row r="2777" spans="1:76" s="81" customFormat="1" ht="25.5" x14ac:dyDescent="0.25">
      <c r="A2777" s="66" t="s">
        <v>4120</v>
      </c>
      <c r="B2777" s="72" t="s">
        <v>4072</v>
      </c>
      <c r="C2777" s="72" t="s">
        <v>4089</v>
      </c>
      <c r="D2777" s="174" t="s">
        <v>4090</v>
      </c>
      <c r="E2777" s="174"/>
      <c r="F2777" s="72" t="s">
        <v>192</v>
      </c>
      <c r="G2777" s="90">
        <v>41.403030000000001</v>
      </c>
      <c r="H2777" s="91"/>
      <c r="I2777" s="92" t="s">
        <v>63</v>
      </c>
      <c r="J2777" s="90">
        <f>G2777*AO2777</f>
        <v>0</v>
      </c>
      <c r="K2777" s="90">
        <f>G2777*AP2777</f>
        <v>0</v>
      </c>
      <c r="L2777" s="90">
        <f>G2777*H2777</f>
        <v>0</v>
      </c>
      <c r="M2777" s="90">
        <f>L2777*(1+BW2777/100)</f>
        <v>0</v>
      </c>
      <c r="N2777" s="90">
        <v>1.3681000000000001</v>
      </c>
      <c r="O2777" s="90">
        <f>G2777*N2777</f>
        <v>56.643485343000009</v>
      </c>
      <c r="P2777" s="92" t="s">
        <v>64</v>
      </c>
      <c r="Z2777" s="93">
        <f>IF(AQ2777="5",BJ2777,0)</f>
        <v>0</v>
      </c>
      <c r="AB2777" s="93">
        <f>IF(AQ2777="1",BH2777,0)</f>
        <v>0</v>
      </c>
      <c r="AC2777" s="93">
        <f>IF(AQ2777="1",BI2777,0)</f>
        <v>0</v>
      </c>
      <c r="AD2777" s="93">
        <f>IF(AQ2777="7",BH2777,0)</f>
        <v>0</v>
      </c>
      <c r="AE2777" s="93">
        <f>IF(AQ2777="7",BI2777,0)</f>
        <v>0</v>
      </c>
      <c r="AF2777" s="93">
        <f>IF(AQ2777="2",BH2777,0)</f>
        <v>0</v>
      </c>
      <c r="AG2777" s="93">
        <f>IF(AQ2777="2",BI2777,0)</f>
        <v>0</v>
      </c>
      <c r="AH2777" s="93">
        <f>IF(AQ2777="0",BJ2777,0)</f>
        <v>0</v>
      </c>
      <c r="AI2777" s="88" t="s">
        <v>4072</v>
      </c>
      <c r="AJ2777" s="93">
        <f>IF(AN2777=0,L2777,0)</f>
        <v>0</v>
      </c>
      <c r="AK2777" s="93">
        <f>IF(AN2777=12,L2777,0)</f>
        <v>0</v>
      </c>
      <c r="AL2777" s="93">
        <f>IF(AN2777=21,L2777,0)</f>
        <v>0</v>
      </c>
      <c r="AN2777" s="93">
        <v>21</v>
      </c>
      <c r="AO2777" s="93">
        <f>H2777*0.591532987</f>
        <v>0</v>
      </c>
      <c r="AP2777" s="93">
        <f>H2777*(1-0.591532987)</f>
        <v>0</v>
      </c>
      <c r="AQ2777" s="94" t="s">
        <v>59</v>
      </c>
      <c r="AV2777" s="93">
        <f>AW2777+AX2777</f>
        <v>0</v>
      </c>
      <c r="AW2777" s="93">
        <f>G2777*AO2777</f>
        <v>0</v>
      </c>
      <c r="AX2777" s="93">
        <f>G2777*AP2777</f>
        <v>0</v>
      </c>
      <c r="AY2777" s="94" t="s">
        <v>859</v>
      </c>
      <c r="AZ2777" s="94" t="s">
        <v>4079</v>
      </c>
      <c r="BA2777" s="88" t="s">
        <v>4080</v>
      </c>
      <c r="BC2777" s="93">
        <f>AW2777+AX2777</f>
        <v>0</v>
      </c>
      <c r="BD2777" s="93">
        <f>H2777/(100-BE2777)*100</f>
        <v>0</v>
      </c>
      <c r="BE2777" s="93">
        <v>0</v>
      </c>
      <c r="BF2777" s="93">
        <f>O2777</f>
        <v>56.643485343000009</v>
      </c>
      <c r="BH2777" s="93">
        <f>G2777*AO2777</f>
        <v>0</v>
      </c>
      <c r="BI2777" s="93">
        <f>G2777*AP2777</f>
        <v>0</v>
      </c>
      <c r="BJ2777" s="93">
        <f>G2777*H2777</f>
        <v>0</v>
      </c>
      <c r="BK2777" s="93"/>
      <c r="BL2777" s="93">
        <v>59</v>
      </c>
      <c r="BW2777" s="93" t="str">
        <f>I2777</f>
        <v>21</v>
      </c>
      <c r="BX2777" s="2" t="s">
        <v>4090</v>
      </c>
    </row>
    <row r="2778" spans="1:76" s="81" customFormat="1" ht="13.5" customHeight="1" x14ac:dyDescent="0.25">
      <c r="A2778" s="110"/>
      <c r="B2778" s="95"/>
      <c r="C2778" s="95"/>
      <c r="D2778" s="179" t="s">
        <v>4091</v>
      </c>
      <c r="E2778" s="179"/>
      <c r="F2778" s="179"/>
      <c r="G2778" s="179"/>
      <c r="H2778" s="179"/>
      <c r="I2778" s="179"/>
      <c r="J2778" s="179"/>
      <c r="K2778" s="179"/>
      <c r="L2778" s="179"/>
      <c r="M2778" s="179"/>
      <c r="N2778" s="179"/>
      <c r="O2778" s="179"/>
      <c r="P2778" s="179"/>
    </row>
    <row r="2779" spans="1:76" s="81" customFormat="1" x14ac:dyDescent="0.25">
      <c r="A2779" s="110"/>
      <c r="B2779" s="95"/>
      <c r="C2779" s="95"/>
      <c r="D2779" s="76" t="s">
        <v>54</v>
      </c>
      <c r="E2779" s="76" t="s">
        <v>215</v>
      </c>
      <c r="F2779" s="95"/>
      <c r="G2779" s="96">
        <v>0</v>
      </c>
      <c r="H2779" s="97"/>
      <c r="I2779" s="95"/>
      <c r="J2779" s="95"/>
      <c r="K2779" s="95"/>
      <c r="L2779" s="95"/>
      <c r="M2779" s="95"/>
      <c r="N2779" s="95"/>
      <c r="O2779" s="95"/>
      <c r="P2779" s="95"/>
    </row>
    <row r="2780" spans="1:76" s="81" customFormat="1" x14ac:dyDescent="0.25">
      <c r="A2780" s="110"/>
      <c r="B2780" s="95"/>
      <c r="C2780" s="95"/>
      <c r="D2780" s="76" t="s">
        <v>4092</v>
      </c>
      <c r="E2780" s="76" t="s">
        <v>54</v>
      </c>
      <c r="F2780" s="95"/>
      <c r="G2780" s="96">
        <v>5.9318799999999996</v>
      </c>
      <c r="H2780" s="97"/>
      <c r="I2780" s="95"/>
      <c r="J2780" s="95"/>
      <c r="K2780" s="95"/>
      <c r="L2780" s="95"/>
      <c r="M2780" s="95"/>
      <c r="N2780" s="95"/>
      <c r="O2780" s="95"/>
      <c r="P2780" s="95"/>
    </row>
    <row r="2781" spans="1:76" s="81" customFormat="1" x14ac:dyDescent="0.25">
      <c r="A2781" s="110"/>
      <c r="B2781" s="95"/>
      <c r="C2781" s="95"/>
      <c r="D2781" s="76" t="s">
        <v>4093</v>
      </c>
      <c r="E2781" s="76" t="s">
        <v>54</v>
      </c>
      <c r="F2781" s="95"/>
      <c r="G2781" s="96">
        <v>3.1713499999999999</v>
      </c>
      <c r="H2781" s="97"/>
      <c r="I2781" s="95"/>
      <c r="J2781" s="95"/>
      <c r="K2781" s="95"/>
      <c r="L2781" s="95"/>
      <c r="M2781" s="95"/>
      <c r="N2781" s="95"/>
      <c r="O2781" s="95"/>
      <c r="P2781" s="95"/>
    </row>
    <row r="2782" spans="1:76" s="81" customFormat="1" ht="25.5" x14ac:dyDescent="0.25">
      <c r="A2782" s="110"/>
      <c r="B2782" s="95"/>
      <c r="C2782" s="95"/>
      <c r="D2782" s="76" t="s">
        <v>4094</v>
      </c>
      <c r="E2782" s="76" t="s">
        <v>4095</v>
      </c>
      <c r="F2782" s="95"/>
      <c r="G2782" s="96">
        <v>32.299799999999998</v>
      </c>
      <c r="H2782" s="97"/>
      <c r="I2782" s="95"/>
      <c r="J2782" s="95"/>
      <c r="K2782" s="95"/>
      <c r="L2782" s="95"/>
      <c r="M2782" s="95"/>
      <c r="N2782" s="95"/>
      <c r="O2782" s="95"/>
      <c r="P2782" s="95"/>
    </row>
    <row r="2783" spans="1:76" s="81" customFormat="1" ht="25.5" x14ac:dyDescent="0.25">
      <c r="A2783" s="66" t="s">
        <v>4124</v>
      </c>
      <c r="B2783" s="72" t="s">
        <v>4072</v>
      </c>
      <c r="C2783" s="72" t="s">
        <v>863</v>
      </c>
      <c r="D2783" s="174" t="s">
        <v>4097</v>
      </c>
      <c r="E2783" s="174"/>
      <c r="F2783" s="72" t="s">
        <v>213</v>
      </c>
      <c r="G2783" s="90">
        <v>42.371000000000002</v>
      </c>
      <c r="H2783" s="91"/>
      <c r="I2783" s="92" t="s">
        <v>63</v>
      </c>
      <c r="J2783" s="90">
        <f>G2783*AO2783</f>
        <v>0</v>
      </c>
      <c r="K2783" s="90">
        <f>G2783*AP2783</f>
        <v>0</v>
      </c>
      <c r="L2783" s="90">
        <f>G2783*H2783</f>
        <v>0</v>
      </c>
      <c r="M2783" s="90">
        <f>L2783*(1+BW2783/100)</f>
        <v>0</v>
      </c>
      <c r="N2783" s="90">
        <v>0.24754000000000001</v>
      </c>
      <c r="O2783" s="90">
        <f>G2783*N2783</f>
        <v>10.488517340000001</v>
      </c>
      <c r="P2783" s="92" t="s">
        <v>371</v>
      </c>
      <c r="Z2783" s="93">
        <f>IF(AQ2783="5",BJ2783,0)</f>
        <v>0</v>
      </c>
      <c r="AB2783" s="93">
        <f>IF(AQ2783="1",BH2783,0)</f>
        <v>0</v>
      </c>
      <c r="AC2783" s="93">
        <f>IF(AQ2783="1",BI2783,0)</f>
        <v>0</v>
      </c>
      <c r="AD2783" s="93">
        <f>IF(AQ2783="7",BH2783,0)</f>
        <v>0</v>
      </c>
      <c r="AE2783" s="93">
        <f>IF(AQ2783="7",BI2783,0)</f>
        <v>0</v>
      </c>
      <c r="AF2783" s="93">
        <f>IF(AQ2783="2",BH2783,0)</f>
        <v>0</v>
      </c>
      <c r="AG2783" s="93">
        <f>IF(AQ2783="2",BI2783,0)</f>
        <v>0</v>
      </c>
      <c r="AH2783" s="93">
        <f>IF(AQ2783="0",BJ2783,0)</f>
        <v>0</v>
      </c>
      <c r="AI2783" s="88" t="s">
        <v>4072</v>
      </c>
      <c r="AJ2783" s="93">
        <f>IF(AN2783=0,L2783,0)</f>
        <v>0</v>
      </c>
      <c r="AK2783" s="93">
        <f>IF(AN2783=12,L2783,0)</f>
        <v>0</v>
      </c>
      <c r="AL2783" s="93">
        <f>IF(AN2783=21,L2783,0)</f>
        <v>0</v>
      </c>
      <c r="AN2783" s="93">
        <v>21</v>
      </c>
      <c r="AO2783" s="93">
        <f>H2783*0.955623286</f>
        <v>0</v>
      </c>
      <c r="AP2783" s="93">
        <f>H2783*(1-0.955623286)</f>
        <v>0</v>
      </c>
      <c r="AQ2783" s="94" t="s">
        <v>59</v>
      </c>
      <c r="AV2783" s="93">
        <f>AW2783+AX2783</f>
        <v>0</v>
      </c>
      <c r="AW2783" s="93">
        <f>G2783*AO2783</f>
        <v>0</v>
      </c>
      <c r="AX2783" s="93">
        <f>G2783*AP2783</f>
        <v>0</v>
      </c>
      <c r="AY2783" s="94" t="s">
        <v>859</v>
      </c>
      <c r="AZ2783" s="94" t="s">
        <v>4079</v>
      </c>
      <c r="BA2783" s="88" t="s">
        <v>4080</v>
      </c>
      <c r="BC2783" s="93">
        <f>AW2783+AX2783</f>
        <v>0</v>
      </c>
      <c r="BD2783" s="93">
        <f>H2783/(100-BE2783)*100</f>
        <v>0</v>
      </c>
      <c r="BE2783" s="93">
        <v>0</v>
      </c>
      <c r="BF2783" s="93">
        <f>O2783</f>
        <v>10.488517340000001</v>
      </c>
      <c r="BH2783" s="93">
        <f>G2783*AO2783</f>
        <v>0</v>
      </c>
      <c r="BI2783" s="93">
        <f>G2783*AP2783</f>
        <v>0</v>
      </c>
      <c r="BJ2783" s="93">
        <f>G2783*H2783</f>
        <v>0</v>
      </c>
      <c r="BK2783" s="93"/>
      <c r="BL2783" s="93">
        <v>59</v>
      </c>
      <c r="BW2783" s="93" t="str">
        <f>I2783</f>
        <v>21</v>
      </c>
      <c r="BX2783" s="2" t="s">
        <v>4097</v>
      </c>
    </row>
    <row r="2784" spans="1:76" s="81" customFormat="1" x14ac:dyDescent="0.25">
      <c r="A2784" s="110"/>
      <c r="B2784" s="95"/>
      <c r="C2784" s="95"/>
      <c r="D2784" s="76" t="s">
        <v>54</v>
      </c>
      <c r="E2784" s="76" t="s">
        <v>4081</v>
      </c>
      <c r="F2784" s="95"/>
      <c r="G2784" s="96">
        <v>0</v>
      </c>
      <c r="H2784" s="97"/>
      <c r="I2784" s="95"/>
      <c r="J2784" s="95"/>
      <c r="K2784" s="95"/>
      <c r="L2784" s="95"/>
      <c r="M2784" s="95"/>
      <c r="N2784" s="95"/>
      <c r="O2784" s="95"/>
      <c r="P2784" s="95"/>
    </row>
    <row r="2785" spans="1:76" s="81" customFormat="1" x14ac:dyDescent="0.25">
      <c r="A2785" s="110"/>
      <c r="B2785" s="95"/>
      <c r="C2785" s="95"/>
      <c r="D2785" s="76" t="s">
        <v>4098</v>
      </c>
      <c r="E2785" s="76" t="s">
        <v>54</v>
      </c>
      <c r="F2785" s="95"/>
      <c r="G2785" s="96">
        <v>42.371000000000002</v>
      </c>
      <c r="H2785" s="97"/>
      <c r="I2785" s="95"/>
      <c r="J2785" s="95"/>
      <c r="K2785" s="95"/>
      <c r="L2785" s="95"/>
      <c r="M2785" s="95"/>
      <c r="N2785" s="95"/>
      <c r="O2785" s="95"/>
      <c r="P2785" s="95"/>
    </row>
    <row r="2786" spans="1:76" s="81" customFormat="1" ht="25.5" x14ac:dyDescent="0.25">
      <c r="A2786" s="66" t="s">
        <v>4126</v>
      </c>
      <c r="B2786" s="72" t="s">
        <v>4072</v>
      </c>
      <c r="C2786" s="72" t="s">
        <v>4100</v>
      </c>
      <c r="D2786" s="174" t="s">
        <v>4101</v>
      </c>
      <c r="E2786" s="174"/>
      <c r="F2786" s="72" t="s">
        <v>192</v>
      </c>
      <c r="G2786" s="90">
        <v>327.82499999999999</v>
      </c>
      <c r="H2786" s="91"/>
      <c r="I2786" s="92" t="s">
        <v>63</v>
      </c>
      <c r="J2786" s="90">
        <f>G2786*AO2786</f>
        <v>0</v>
      </c>
      <c r="K2786" s="90">
        <f>G2786*AP2786</f>
        <v>0</v>
      </c>
      <c r="L2786" s="90">
        <f>G2786*H2786</f>
        <v>0</v>
      </c>
      <c r="M2786" s="90">
        <f>L2786*(1+BW2786/100)</f>
        <v>0</v>
      </c>
      <c r="N2786" s="90">
        <v>1.3681000000000001</v>
      </c>
      <c r="O2786" s="90">
        <f>G2786*N2786</f>
        <v>448.49738250000001</v>
      </c>
      <c r="P2786" s="92" t="s">
        <v>371</v>
      </c>
      <c r="Z2786" s="93">
        <f>IF(AQ2786="5",BJ2786,0)</f>
        <v>0</v>
      </c>
      <c r="AB2786" s="93">
        <f>IF(AQ2786="1",BH2786,0)</f>
        <v>0</v>
      </c>
      <c r="AC2786" s="93">
        <f>IF(AQ2786="1",BI2786,0)</f>
        <v>0</v>
      </c>
      <c r="AD2786" s="93">
        <f>IF(AQ2786="7",BH2786,0)</f>
        <v>0</v>
      </c>
      <c r="AE2786" s="93">
        <f>IF(AQ2786="7",BI2786,0)</f>
        <v>0</v>
      </c>
      <c r="AF2786" s="93">
        <f>IF(AQ2786="2",BH2786,0)</f>
        <v>0</v>
      </c>
      <c r="AG2786" s="93">
        <f>IF(AQ2786="2",BI2786,0)</f>
        <v>0</v>
      </c>
      <c r="AH2786" s="93">
        <f>IF(AQ2786="0",BJ2786,0)</f>
        <v>0</v>
      </c>
      <c r="AI2786" s="88" t="s">
        <v>4072</v>
      </c>
      <c r="AJ2786" s="93">
        <f>IF(AN2786=0,L2786,0)</f>
        <v>0</v>
      </c>
      <c r="AK2786" s="93">
        <f>IF(AN2786=12,L2786,0)</f>
        <v>0</v>
      </c>
      <c r="AL2786" s="93">
        <f>IF(AN2786=21,L2786,0)</f>
        <v>0</v>
      </c>
      <c r="AN2786" s="93">
        <v>21</v>
      </c>
      <c r="AO2786" s="93">
        <f>H2786*0.591531901</f>
        <v>0</v>
      </c>
      <c r="AP2786" s="93">
        <f>H2786*(1-0.591531901)</f>
        <v>0</v>
      </c>
      <c r="AQ2786" s="94" t="s">
        <v>59</v>
      </c>
      <c r="AV2786" s="93">
        <f>AW2786+AX2786</f>
        <v>0</v>
      </c>
      <c r="AW2786" s="93">
        <f>G2786*AO2786</f>
        <v>0</v>
      </c>
      <c r="AX2786" s="93">
        <f>G2786*AP2786</f>
        <v>0</v>
      </c>
      <c r="AY2786" s="94" t="s">
        <v>859</v>
      </c>
      <c r="AZ2786" s="94" t="s">
        <v>4079</v>
      </c>
      <c r="BA2786" s="88" t="s">
        <v>4080</v>
      </c>
      <c r="BC2786" s="93">
        <f>AW2786+AX2786</f>
        <v>0</v>
      </c>
      <c r="BD2786" s="93">
        <f>H2786/(100-BE2786)*100</f>
        <v>0</v>
      </c>
      <c r="BE2786" s="93">
        <v>0</v>
      </c>
      <c r="BF2786" s="93">
        <f>O2786</f>
        <v>448.49738250000001</v>
      </c>
      <c r="BH2786" s="93">
        <f>G2786*AO2786</f>
        <v>0</v>
      </c>
      <c r="BI2786" s="93">
        <f>G2786*AP2786</f>
        <v>0</v>
      </c>
      <c r="BJ2786" s="93">
        <f>G2786*H2786</f>
        <v>0</v>
      </c>
      <c r="BK2786" s="93"/>
      <c r="BL2786" s="93">
        <v>59</v>
      </c>
      <c r="BW2786" s="93" t="str">
        <f>I2786</f>
        <v>21</v>
      </c>
      <c r="BX2786" s="2" t="s">
        <v>4101</v>
      </c>
    </row>
    <row r="2787" spans="1:76" s="81" customFormat="1" x14ac:dyDescent="0.25">
      <c r="A2787" s="110"/>
      <c r="B2787" s="95"/>
      <c r="C2787" s="95"/>
      <c r="D2787" s="76" t="s">
        <v>54</v>
      </c>
      <c r="E2787" s="76" t="s">
        <v>4095</v>
      </c>
      <c r="F2787" s="95"/>
      <c r="G2787" s="96">
        <v>0</v>
      </c>
      <c r="H2787" s="97"/>
      <c r="I2787" s="95"/>
      <c r="J2787" s="95"/>
      <c r="K2787" s="95"/>
      <c r="L2787" s="95"/>
      <c r="M2787" s="95"/>
      <c r="N2787" s="95"/>
      <c r="O2787" s="95"/>
      <c r="P2787" s="95"/>
    </row>
    <row r="2788" spans="1:76" s="81" customFormat="1" x14ac:dyDescent="0.25">
      <c r="A2788" s="110"/>
      <c r="B2788" s="95"/>
      <c r="C2788" s="95"/>
      <c r="D2788" s="76" t="s">
        <v>4102</v>
      </c>
      <c r="E2788" s="76" t="s">
        <v>54</v>
      </c>
      <c r="F2788" s="95"/>
      <c r="G2788" s="96">
        <v>96.525000000000006</v>
      </c>
      <c r="H2788" s="97"/>
      <c r="I2788" s="95"/>
      <c r="J2788" s="95"/>
      <c r="K2788" s="95"/>
      <c r="L2788" s="95"/>
      <c r="M2788" s="95"/>
      <c r="N2788" s="95"/>
      <c r="O2788" s="95"/>
      <c r="P2788" s="95"/>
    </row>
    <row r="2789" spans="1:76" s="81" customFormat="1" x14ac:dyDescent="0.25">
      <c r="A2789" s="110"/>
      <c r="B2789" s="95"/>
      <c r="C2789" s="95"/>
      <c r="D2789" s="76" t="s">
        <v>4103</v>
      </c>
      <c r="E2789" s="76" t="s">
        <v>54</v>
      </c>
      <c r="F2789" s="95"/>
      <c r="G2789" s="96">
        <v>231.3</v>
      </c>
      <c r="H2789" s="97"/>
      <c r="I2789" s="95"/>
      <c r="J2789" s="95"/>
      <c r="K2789" s="95"/>
      <c r="L2789" s="95"/>
      <c r="M2789" s="95"/>
      <c r="N2789" s="95"/>
      <c r="O2789" s="95"/>
      <c r="P2789" s="95"/>
    </row>
    <row r="2790" spans="1:76" s="81" customFormat="1" ht="25.5" x14ac:dyDescent="0.25">
      <c r="A2790" s="66" t="s">
        <v>4132</v>
      </c>
      <c r="B2790" s="72" t="s">
        <v>4072</v>
      </c>
      <c r="C2790" s="72" t="s">
        <v>4105</v>
      </c>
      <c r="D2790" s="174" t="s">
        <v>4106</v>
      </c>
      <c r="E2790" s="174"/>
      <c r="F2790" s="72" t="s">
        <v>192</v>
      </c>
      <c r="G2790" s="90">
        <v>97</v>
      </c>
      <c r="H2790" s="91"/>
      <c r="I2790" s="92" t="s">
        <v>63</v>
      </c>
      <c r="J2790" s="90">
        <f>G2790*AO2790</f>
        <v>0</v>
      </c>
      <c r="K2790" s="90">
        <f>G2790*AP2790</f>
        <v>0</v>
      </c>
      <c r="L2790" s="90">
        <f>G2790*H2790</f>
        <v>0</v>
      </c>
      <c r="M2790" s="90">
        <f>L2790*(1+BW2790/100)</f>
        <v>0</v>
      </c>
      <c r="N2790" s="90">
        <v>1.3681000000000001</v>
      </c>
      <c r="O2790" s="90">
        <f>G2790*N2790</f>
        <v>132.70570000000001</v>
      </c>
      <c r="P2790" s="92" t="s">
        <v>371</v>
      </c>
      <c r="Z2790" s="93">
        <f>IF(AQ2790="5",BJ2790,0)</f>
        <v>0</v>
      </c>
      <c r="AB2790" s="93">
        <f>IF(AQ2790="1",BH2790,0)</f>
        <v>0</v>
      </c>
      <c r="AC2790" s="93">
        <f>IF(AQ2790="1",BI2790,0)</f>
        <v>0</v>
      </c>
      <c r="AD2790" s="93">
        <f>IF(AQ2790="7",BH2790,0)</f>
        <v>0</v>
      </c>
      <c r="AE2790" s="93">
        <f>IF(AQ2790="7",BI2790,0)</f>
        <v>0</v>
      </c>
      <c r="AF2790" s="93">
        <f>IF(AQ2790="2",BH2790,0)</f>
        <v>0</v>
      </c>
      <c r="AG2790" s="93">
        <f>IF(AQ2790="2",BI2790,0)</f>
        <v>0</v>
      </c>
      <c r="AH2790" s="93">
        <f>IF(AQ2790="0",BJ2790,0)</f>
        <v>0</v>
      </c>
      <c r="AI2790" s="88" t="s">
        <v>4072</v>
      </c>
      <c r="AJ2790" s="93">
        <f>IF(AN2790=0,L2790,0)</f>
        <v>0</v>
      </c>
      <c r="AK2790" s="93">
        <f>IF(AN2790=12,L2790,0)</f>
        <v>0</v>
      </c>
      <c r="AL2790" s="93">
        <f>IF(AN2790=21,L2790,0)</f>
        <v>0</v>
      </c>
      <c r="AN2790" s="93">
        <v>21</v>
      </c>
      <c r="AO2790" s="93">
        <f>H2790*0.591533127</f>
        <v>0</v>
      </c>
      <c r="AP2790" s="93">
        <f>H2790*(1-0.591533127)</f>
        <v>0</v>
      </c>
      <c r="AQ2790" s="94" t="s">
        <v>59</v>
      </c>
      <c r="AV2790" s="93">
        <f>AW2790+AX2790</f>
        <v>0</v>
      </c>
      <c r="AW2790" s="93">
        <f>G2790*AO2790</f>
        <v>0</v>
      </c>
      <c r="AX2790" s="93">
        <f>G2790*AP2790</f>
        <v>0</v>
      </c>
      <c r="AY2790" s="94" t="s">
        <v>859</v>
      </c>
      <c r="AZ2790" s="94" t="s">
        <v>4079</v>
      </c>
      <c r="BA2790" s="88" t="s">
        <v>4080</v>
      </c>
      <c r="BC2790" s="93">
        <f>AW2790+AX2790</f>
        <v>0</v>
      </c>
      <c r="BD2790" s="93">
        <f>H2790/(100-BE2790)*100</f>
        <v>0</v>
      </c>
      <c r="BE2790" s="93">
        <v>0</v>
      </c>
      <c r="BF2790" s="93">
        <f>O2790</f>
        <v>132.70570000000001</v>
      </c>
      <c r="BH2790" s="93">
        <f>G2790*AO2790</f>
        <v>0</v>
      </c>
      <c r="BI2790" s="93">
        <f>G2790*AP2790</f>
        <v>0</v>
      </c>
      <c r="BJ2790" s="93">
        <f>G2790*H2790</f>
        <v>0</v>
      </c>
      <c r="BK2790" s="93"/>
      <c r="BL2790" s="93">
        <v>59</v>
      </c>
      <c r="BW2790" s="93" t="str">
        <f>I2790</f>
        <v>21</v>
      </c>
      <c r="BX2790" s="2" t="s">
        <v>4106</v>
      </c>
    </row>
    <row r="2791" spans="1:76" s="81" customFormat="1" ht="13.5" customHeight="1" x14ac:dyDescent="0.25">
      <c r="A2791" s="110"/>
      <c r="B2791" s="95"/>
      <c r="C2791" s="95"/>
      <c r="D2791" s="179" t="s">
        <v>4107</v>
      </c>
      <c r="E2791" s="179"/>
      <c r="F2791" s="179"/>
      <c r="G2791" s="179"/>
      <c r="H2791" s="179"/>
      <c r="I2791" s="179"/>
      <c r="J2791" s="179"/>
      <c r="K2791" s="179"/>
      <c r="L2791" s="179"/>
      <c r="M2791" s="179"/>
      <c r="N2791" s="179"/>
      <c r="O2791" s="179"/>
      <c r="P2791" s="179"/>
    </row>
    <row r="2792" spans="1:76" s="81" customFormat="1" x14ac:dyDescent="0.25">
      <c r="A2792" s="110"/>
      <c r="B2792" s="95"/>
      <c r="C2792" s="95"/>
      <c r="D2792" s="76" t="s">
        <v>54</v>
      </c>
      <c r="E2792" s="76" t="s">
        <v>4095</v>
      </c>
      <c r="F2792" s="95"/>
      <c r="G2792" s="96">
        <v>0</v>
      </c>
      <c r="H2792" s="97"/>
      <c r="I2792" s="95"/>
      <c r="J2792" s="95"/>
      <c r="K2792" s="95"/>
      <c r="L2792" s="95"/>
      <c r="M2792" s="95"/>
      <c r="N2792" s="95"/>
      <c r="O2792" s="95"/>
      <c r="P2792" s="95"/>
    </row>
    <row r="2793" spans="1:76" s="81" customFormat="1" x14ac:dyDescent="0.25">
      <c r="A2793" s="110"/>
      <c r="B2793" s="95"/>
      <c r="C2793" s="95"/>
      <c r="D2793" s="76" t="s">
        <v>826</v>
      </c>
      <c r="E2793" s="76" t="s">
        <v>54</v>
      </c>
      <c r="F2793" s="95"/>
      <c r="G2793" s="96">
        <v>97</v>
      </c>
      <c r="H2793" s="97"/>
      <c r="I2793" s="95"/>
      <c r="J2793" s="95"/>
      <c r="K2793" s="95"/>
      <c r="L2793" s="95"/>
      <c r="M2793" s="95"/>
      <c r="N2793" s="95"/>
      <c r="O2793" s="95"/>
      <c r="P2793" s="95"/>
    </row>
    <row r="2794" spans="1:76" s="81" customFormat="1" x14ac:dyDescent="0.25">
      <c r="A2794" s="109" t="s">
        <v>54</v>
      </c>
      <c r="B2794" s="74" t="s">
        <v>4072</v>
      </c>
      <c r="C2794" s="74" t="s">
        <v>781</v>
      </c>
      <c r="D2794" s="180" t="s">
        <v>4108</v>
      </c>
      <c r="E2794" s="180"/>
      <c r="F2794" s="85" t="s">
        <v>4</v>
      </c>
      <c r="G2794" s="85" t="s">
        <v>4</v>
      </c>
      <c r="H2794" s="98" t="s">
        <v>4</v>
      </c>
      <c r="I2794" s="85" t="s">
        <v>4</v>
      </c>
      <c r="J2794" s="86">
        <f>SUM(J2795:J2797)</f>
        <v>0</v>
      </c>
      <c r="K2794" s="86">
        <f>SUM(K2795:K2797)</f>
        <v>0</v>
      </c>
      <c r="L2794" s="86">
        <f>SUM(L2795:L2797)</f>
        <v>0</v>
      </c>
      <c r="M2794" s="86">
        <f>SUM(M2795:M2797)</f>
        <v>0</v>
      </c>
      <c r="N2794" s="87" t="s">
        <v>54</v>
      </c>
      <c r="O2794" s="86">
        <f>SUM(O2795:O2797)</f>
        <v>0</v>
      </c>
      <c r="P2794" s="87" t="s">
        <v>54</v>
      </c>
      <c r="AI2794" s="88" t="s">
        <v>4072</v>
      </c>
      <c r="AS2794" s="89">
        <f>SUM(AJ2795:AJ2797)</f>
        <v>0</v>
      </c>
      <c r="AT2794" s="89">
        <f>SUM(AK2795:AK2797)</f>
        <v>0</v>
      </c>
      <c r="AU2794" s="89">
        <f>SUM(AL2795:AL2797)</f>
        <v>0</v>
      </c>
    </row>
    <row r="2795" spans="1:76" s="81" customFormat="1" x14ac:dyDescent="0.25">
      <c r="A2795" s="66" t="s">
        <v>4136</v>
      </c>
      <c r="B2795" s="72" t="s">
        <v>4072</v>
      </c>
      <c r="C2795" s="72" t="s">
        <v>4110</v>
      </c>
      <c r="D2795" s="174" t="s">
        <v>4111</v>
      </c>
      <c r="E2795" s="174"/>
      <c r="F2795" s="72" t="s">
        <v>4112</v>
      </c>
      <c r="G2795" s="90">
        <v>24</v>
      </c>
      <c r="H2795" s="91"/>
      <c r="I2795" s="92" t="s">
        <v>63</v>
      </c>
      <c r="J2795" s="90">
        <f>G2795*AO2795</f>
        <v>0</v>
      </c>
      <c r="K2795" s="90">
        <f>G2795*AP2795</f>
        <v>0</v>
      </c>
      <c r="L2795" s="90">
        <f>G2795*H2795</f>
        <v>0</v>
      </c>
      <c r="M2795" s="90">
        <f>L2795*(1+BW2795/100)</f>
        <v>0</v>
      </c>
      <c r="N2795" s="90">
        <v>0</v>
      </c>
      <c r="O2795" s="90">
        <f>G2795*N2795</f>
        <v>0</v>
      </c>
      <c r="P2795" s="92" t="s">
        <v>64</v>
      </c>
      <c r="Z2795" s="93">
        <f>IF(AQ2795="5",BJ2795,0)</f>
        <v>0</v>
      </c>
      <c r="AB2795" s="93">
        <f>IF(AQ2795="1",BH2795,0)</f>
        <v>0</v>
      </c>
      <c r="AC2795" s="93">
        <f>IF(AQ2795="1",BI2795,0)</f>
        <v>0</v>
      </c>
      <c r="AD2795" s="93">
        <f>IF(AQ2795="7",BH2795,0)</f>
        <v>0</v>
      </c>
      <c r="AE2795" s="93">
        <f>IF(AQ2795="7",BI2795,0)</f>
        <v>0</v>
      </c>
      <c r="AF2795" s="93">
        <f>IF(AQ2795="2",BH2795,0)</f>
        <v>0</v>
      </c>
      <c r="AG2795" s="93">
        <f>IF(AQ2795="2",BI2795,0)</f>
        <v>0</v>
      </c>
      <c r="AH2795" s="93">
        <f>IF(AQ2795="0",BJ2795,0)</f>
        <v>0</v>
      </c>
      <c r="AI2795" s="88" t="s">
        <v>4072</v>
      </c>
      <c r="AJ2795" s="93">
        <f>IF(AN2795=0,L2795,0)</f>
        <v>0</v>
      </c>
      <c r="AK2795" s="93">
        <f>IF(AN2795=12,L2795,0)</f>
        <v>0</v>
      </c>
      <c r="AL2795" s="93">
        <f>IF(AN2795=21,L2795,0)</f>
        <v>0</v>
      </c>
      <c r="AN2795" s="93">
        <v>21</v>
      </c>
      <c r="AO2795" s="93">
        <f>H2795*0</f>
        <v>0</v>
      </c>
      <c r="AP2795" s="93">
        <f>H2795*(1-0)</f>
        <v>0</v>
      </c>
      <c r="AQ2795" s="94" t="s">
        <v>59</v>
      </c>
      <c r="AV2795" s="93">
        <f>AW2795+AX2795</f>
        <v>0</v>
      </c>
      <c r="AW2795" s="93">
        <f>G2795*AO2795</f>
        <v>0</v>
      </c>
      <c r="AX2795" s="93">
        <f>G2795*AP2795</f>
        <v>0</v>
      </c>
      <c r="AY2795" s="94" t="s">
        <v>4113</v>
      </c>
      <c r="AZ2795" s="94" t="s">
        <v>4114</v>
      </c>
      <c r="BA2795" s="88" t="s">
        <v>4080</v>
      </c>
      <c r="BC2795" s="93">
        <f>AW2795+AX2795</f>
        <v>0</v>
      </c>
      <c r="BD2795" s="93">
        <f>H2795/(100-BE2795)*100</f>
        <v>0</v>
      </c>
      <c r="BE2795" s="93">
        <v>0</v>
      </c>
      <c r="BF2795" s="93">
        <f>O2795</f>
        <v>0</v>
      </c>
      <c r="BH2795" s="93">
        <f>G2795*AO2795</f>
        <v>0</v>
      </c>
      <c r="BI2795" s="93">
        <f>G2795*AP2795</f>
        <v>0</v>
      </c>
      <c r="BJ2795" s="93">
        <f>G2795*H2795</f>
        <v>0</v>
      </c>
      <c r="BK2795" s="93"/>
      <c r="BL2795" s="93">
        <v>90</v>
      </c>
      <c r="BW2795" s="93" t="str">
        <f>I2795</f>
        <v>21</v>
      </c>
      <c r="BX2795" s="2" t="s">
        <v>4111</v>
      </c>
    </row>
    <row r="2796" spans="1:76" s="81" customFormat="1" ht="13.5" customHeight="1" x14ac:dyDescent="0.25">
      <c r="A2796" s="110"/>
      <c r="B2796" s="95"/>
      <c r="C2796" s="95"/>
      <c r="D2796" s="179" t="s">
        <v>4115</v>
      </c>
      <c r="E2796" s="179"/>
      <c r="F2796" s="179"/>
      <c r="G2796" s="179"/>
      <c r="H2796" s="179"/>
      <c r="I2796" s="179"/>
      <c r="J2796" s="179"/>
      <c r="K2796" s="179"/>
      <c r="L2796" s="179"/>
      <c r="M2796" s="179"/>
      <c r="N2796" s="179"/>
      <c r="O2796" s="179"/>
      <c r="P2796" s="179"/>
    </row>
    <row r="2797" spans="1:76" s="81" customFormat="1" x14ac:dyDescent="0.25">
      <c r="A2797" s="66" t="s">
        <v>4139</v>
      </c>
      <c r="B2797" s="72" t="s">
        <v>4072</v>
      </c>
      <c r="C2797" s="72" t="s">
        <v>4117</v>
      </c>
      <c r="D2797" s="174" t="s">
        <v>4118</v>
      </c>
      <c r="E2797" s="174"/>
      <c r="F2797" s="72" t="s">
        <v>1332</v>
      </c>
      <c r="G2797" s="90">
        <v>1</v>
      </c>
      <c r="H2797" s="91"/>
      <c r="I2797" s="92" t="s">
        <v>63</v>
      </c>
      <c r="J2797" s="90">
        <f>G2797*AO2797</f>
        <v>0</v>
      </c>
      <c r="K2797" s="90">
        <f>G2797*AP2797</f>
        <v>0</v>
      </c>
      <c r="L2797" s="90">
        <f>G2797*H2797</f>
        <v>0</v>
      </c>
      <c r="M2797" s="90">
        <f>L2797*(1+BW2797/100)</f>
        <v>0</v>
      </c>
      <c r="N2797" s="90">
        <v>0</v>
      </c>
      <c r="O2797" s="90">
        <f>G2797*N2797</f>
        <v>0</v>
      </c>
      <c r="P2797" s="92" t="s">
        <v>371</v>
      </c>
      <c r="Z2797" s="93">
        <f>IF(AQ2797="5",BJ2797,0)</f>
        <v>0</v>
      </c>
      <c r="AB2797" s="93">
        <f>IF(AQ2797="1",BH2797,0)</f>
        <v>0</v>
      </c>
      <c r="AC2797" s="93">
        <f>IF(AQ2797="1",BI2797,0)</f>
        <v>0</v>
      </c>
      <c r="AD2797" s="93">
        <f>IF(AQ2797="7",BH2797,0)</f>
        <v>0</v>
      </c>
      <c r="AE2797" s="93">
        <f>IF(AQ2797="7",BI2797,0)</f>
        <v>0</v>
      </c>
      <c r="AF2797" s="93">
        <f>IF(AQ2797="2",BH2797,0)</f>
        <v>0</v>
      </c>
      <c r="AG2797" s="93">
        <f>IF(AQ2797="2",BI2797,0)</f>
        <v>0</v>
      </c>
      <c r="AH2797" s="93">
        <f>IF(AQ2797="0",BJ2797,0)</f>
        <v>0</v>
      </c>
      <c r="AI2797" s="88" t="s">
        <v>4072</v>
      </c>
      <c r="AJ2797" s="93">
        <f>IF(AN2797=0,L2797,0)</f>
        <v>0</v>
      </c>
      <c r="AK2797" s="93">
        <f>IF(AN2797=12,L2797,0)</f>
        <v>0</v>
      </c>
      <c r="AL2797" s="93">
        <f>IF(AN2797=21,L2797,0)</f>
        <v>0</v>
      </c>
      <c r="AN2797" s="93">
        <v>21</v>
      </c>
      <c r="AO2797" s="93">
        <f>H2797*0</f>
        <v>0</v>
      </c>
      <c r="AP2797" s="93">
        <f>H2797*(1-0)</f>
        <v>0</v>
      </c>
      <c r="AQ2797" s="94" t="s">
        <v>59</v>
      </c>
      <c r="AV2797" s="93">
        <f>AW2797+AX2797</f>
        <v>0</v>
      </c>
      <c r="AW2797" s="93">
        <f>G2797*AO2797</f>
        <v>0</v>
      </c>
      <c r="AX2797" s="93">
        <f>G2797*AP2797</f>
        <v>0</v>
      </c>
      <c r="AY2797" s="94" t="s">
        <v>4113</v>
      </c>
      <c r="AZ2797" s="94" t="s">
        <v>4114</v>
      </c>
      <c r="BA2797" s="88" t="s">
        <v>4080</v>
      </c>
      <c r="BC2797" s="93">
        <f>AW2797+AX2797</f>
        <v>0</v>
      </c>
      <c r="BD2797" s="93">
        <f>H2797/(100-BE2797)*100</f>
        <v>0</v>
      </c>
      <c r="BE2797" s="93">
        <v>0</v>
      </c>
      <c r="BF2797" s="93">
        <f>O2797</f>
        <v>0</v>
      </c>
      <c r="BH2797" s="93">
        <f>G2797*AO2797</f>
        <v>0</v>
      </c>
      <c r="BI2797" s="93">
        <f>G2797*AP2797</f>
        <v>0</v>
      </c>
      <c r="BJ2797" s="93">
        <f>G2797*H2797</f>
        <v>0</v>
      </c>
      <c r="BK2797" s="93"/>
      <c r="BL2797" s="93">
        <v>90</v>
      </c>
      <c r="BW2797" s="93" t="str">
        <f>I2797</f>
        <v>21</v>
      </c>
      <c r="BX2797" s="2" t="s">
        <v>4118</v>
      </c>
    </row>
    <row r="2798" spans="1:76" s="81" customFormat="1" x14ac:dyDescent="0.25">
      <c r="A2798" s="109" t="s">
        <v>54</v>
      </c>
      <c r="B2798" s="74" t="s">
        <v>4072</v>
      </c>
      <c r="C2798" s="74" t="s">
        <v>791</v>
      </c>
      <c r="D2798" s="180" t="s">
        <v>4119</v>
      </c>
      <c r="E2798" s="180"/>
      <c r="F2798" s="85" t="s">
        <v>4</v>
      </c>
      <c r="G2798" s="85" t="s">
        <v>4</v>
      </c>
      <c r="H2798" s="85" t="s">
        <v>4</v>
      </c>
      <c r="I2798" s="85" t="s">
        <v>4</v>
      </c>
      <c r="J2798" s="86">
        <f>SUM(J2799:J2799)</f>
        <v>0</v>
      </c>
      <c r="K2798" s="86">
        <f>SUM(K2799:K2799)</f>
        <v>0</v>
      </c>
      <c r="L2798" s="86">
        <f>SUM(L2799:L2799)</f>
        <v>0</v>
      </c>
      <c r="M2798" s="86">
        <f>SUM(M2799:M2799)</f>
        <v>0</v>
      </c>
      <c r="N2798" s="87" t="s">
        <v>54</v>
      </c>
      <c r="O2798" s="86">
        <f>SUM(O2799:O2799)</f>
        <v>0</v>
      </c>
      <c r="P2798" s="87" t="s">
        <v>54</v>
      </c>
      <c r="AI2798" s="88" t="s">
        <v>4072</v>
      </c>
      <c r="AS2798" s="89">
        <f>SUM(AJ2799:AJ2799)</f>
        <v>0</v>
      </c>
      <c r="AT2798" s="89">
        <f>SUM(AK2799:AK2799)</f>
        <v>0</v>
      </c>
      <c r="AU2798" s="89">
        <f>SUM(AL2799:AL2799)</f>
        <v>0</v>
      </c>
    </row>
    <row r="2799" spans="1:76" s="81" customFormat="1" x14ac:dyDescent="0.25">
      <c r="A2799" s="66" t="s">
        <v>4143</v>
      </c>
      <c r="B2799" s="72" t="s">
        <v>4072</v>
      </c>
      <c r="C2799" s="72" t="s">
        <v>4121</v>
      </c>
      <c r="D2799" s="174" t="s">
        <v>4122</v>
      </c>
      <c r="E2799" s="174"/>
      <c r="F2799" s="72" t="s">
        <v>1332</v>
      </c>
      <c r="G2799" s="90">
        <v>1</v>
      </c>
      <c r="H2799" s="91"/>
      <c r="I2799" s="92" t="s">
        <v>63</v>
      </c>
      <c r="J2799" s="90">
        <f>G2799*AO2799</f>
        <v>0</v>
      </c>
      <c r="K2799" s="90">
        <f>G2799*AP2799</f>
        <v>0</v>
      </c>
      <c r="L2799" s="90">
        <f>G2799*H2799</f>
        <v>0</v>
      </c>
      <c r="M2799" s="90">
        <f>L2799*(1+BW2799/100)</f>
        <v>0</v>
      </c>
      <c r="N2799" s="90">
        <v>0</v>
      </c>
      <c r="O2799" s="90">
        <f>G2799*N2799</f>
        <v>0</v>
      </c>
      <c r="P2799" s="92" t="s">
        <v>371</v>
      </c>
      <c r="Z2799" s="93">
        <f>IF(AQ2799="5",BJ2799,0)</f>
        <v>0</v>
      </c>
      <c r="AB2799" s="93">
        <f>IF(AQ2799="1",BH2799,0)</f>
        <v>0</v>
      </c>
      <c r="AC2799" s="93">
        <f>IF(AQ2799="1",BI2799,0)</f>
        <v>0</v>
      </c>
      <c r="AD2799" s="93">
        <f>IF(AQ2799="7",BH2799,0)</f>
        <v>0</v>
      </c>
      <c r="AE2799" s="93">
        <f>IF(AQ2799="7",BI2799,0)</f>
        <v>0</v>
      </c>
      <c r="AF2799" s="93">
        <f>IF(AQ2799="2",BH2799,0)</f>
        <v>0</v>
      </c>
      <c r="AG2799" s="93">
        <f>IF(AQ2799="2",BI2799,0)</f>
        <v>0</v>
      </c>
      <c r="AH2799" s="93">
        <f>IF(AQ2799="0",BJ2799,0)</f>
        <v>0</v>
      </c>
      <c r="AI2799" s="88" t="s">
        <v>4072</v>
      </c>
      <c r="AJ2799" s="93">
        <f>IF(AN2799=0,L2799,0)</f>
        <v>0</v>
      </c>
      <c r="AK2799" s="93">
        <f>IF(AN2799=12,L2799,0)</f>
        <v>0</v>
      </c>
      <c r="AL2799" s="93">
        <f>IF(AN2799=21,L2799,0)</f>
        <v>0</v>
      </c>
      <c r="AN2799" s="93">
        <v>21</v>
      </c>
      <c r="AO2799" s="93">
        <f>H2799*0.638533</f>
        <v>0</v>
      </c>
      <c r="AP2799" s="93">
        <f>H2799*(1-0.638533)</f>
        <v>0</v>
      </c>
      <c r="AQ2799" s="94" t="s">
        <v>59</v>
      </c>
      <c r="AV2799" s="93">
        <f>AW2799+AX2799</f>
        <v>0</v>
      </c>
      <c r="AW2799" s="93">
        <f>G2799*AO2799</f>
        <v>0</v>
      </c>
      <c r="AX2799" s="93">
        <f>G2799*AP2799</f>
        <v>0</v>
      </c>
      <c r="AY2799" s="94" t="s">
        <v>4123</v>
      </c>
      <c r="AZ2799" s="94" t="s">
        <v>4114</v>
      </c>
      <c r="BA2799" s="88" t="s">
        <v>4080</v>
      </c>
      <c r="BC2799" s="93">
        <f>AW2799+AX2799</f>
        <v>0</v>
      </c>
      <c r="BD2799" s="93">
        <f>H2799/(100-BE2799)*100</f>
        <v>0</v>
      </c>
      <c r="BE2799" s="93">
        <v>0</v>
      </c>
      <c r="BF2799" s="93">
        <f>O2799</f>
        <v>0</v>
      </c>
      <c r="BH2799" s="93">
        <f>G2799*AO2799</f>
        <v>0</v>
      </c>
      <c r="BI2799" s="93">
        <f>G2799*AP2799</f>
        <v>0</v>
      </c>
      <c r="BJ2799" s="93">
        <f>G2799*H2799</f>
        <v>0</v>
      </c>
      <c r="BK2799" s="93"/>
      <c r="BL2799" s="93">
        <v>91</v>
      </c>
      <c r="BW2799" s="93" t="str">
        <f>I2799</f>
        <v>21</v>
      </c>
      <c r="BX2799" s="2" t="s">
        <v>4122</v>
      </c>
    </row>
    <row r="2800" spans="1:76" s="81" customFormat="1" x14ac:dyDescent="0.25">
      <c r="A2800" s="109" t="s">
        <v>54</v>
      </c>
      <c r="B2800" s="74" t="s">
        <v>4072</v>
      </c>
      <c r="C2800" s="74" t="s">
        <v>811</v>
      </c>
      <c r="D2800" s="180" t="s">
        <v>1316</v>
      </c>
      <c r="E2800" s="180"/>
      <c r="F2800" s="85" t="s">
        <v>4</v>
      </c>
      <c r="G2800" s="85" t="s">
        <v>4</v>
      </c>
      <c r="H2800" s="85" t="s">
        <v>4</v>
      </c>
      <c r="I2800" s="85" t="s">
        <v>4</v>
      </c>
      <c r="J2800" s="86">
        <f>SUM(J2801:J2810)</f>
        <v>0</v>
      </c>
      <c r="K2800" s="86">
        <f>SUM(K2801:K2810)</f>
        <v>0</v>
      </c>
      <c r="L2800" s="86">
        <f>SUM(L2801:L2810)</f>
        <v>0</v>
      </c>
      <c r="M2800" s="86">
        <f>SUM(M2801:M2810)</f>
        <v>0</v>
      </c>
      <c r="N2800" s="86"/>
      <c r="O2800" s="86">
        <f>SUM(O2801:O2810)</f>
        <v>2.4000000000000001E-4</v>
      </c>
      <c r="P2800" s="87" t="s">
        <v>54</v>
      </c>
      <c r="AI2800" s="88" t="s">
        <v>4072</v>
      </c>
      <c r="AS2800" s="89" t="e">
        <f>SUM(#REF!)</f>
        <v>#REF!</v>
      </c>
      <c r="AT2800" s="89" t="e">
        <f>SUM(#REF!)</f>
        <v>#REF!</v>
      </c>
      <c r="AU2800" s="89" t="e">
        <f>SUM(#REF!)</f>
        <v>#REF!</v>
      </c>
    </row>
    <row r="2801" spans="1:76" s="81" customFormat="1" ht="25.5" x14ac:dyDescent="0.25">
      <c r="A2801" s="66" t="s">
        <v>4146</v>
      </c>
      <c r="B2801" s="72" t="s">
        <v>4072</v>
      </c>
      <c r="C2801" s="72" t="s">
        <v>4284</v>
      </c>
      <c r="D2801" s="174" t="s">
        <v>4285</v>
      </c>
      <c r="E2801" s="174"/>
      <c r="F2801" s="72" t="s">
        <v>1332</v>
      </c>
      <c r="G2801" s="90">
        <v>1</v>
      </c>
      <c r="H2801" s="91"/>
      <c r="I2801" s="92" t="s">
        <v>63</v>
      </c>
      <c r="J2801" s="90">
        <f>G2801*AO2801</f>
        <v>0</v>
      </c>
      <c r="K2801" s="90">
        <f>G2801*AP2801</f>
        <v>0</v>
      </c>
      <c r="L2801" s="90">
        <f>G2801*H2801</f>
        <v>0</v>
      </c>
      <c r="M2801" s="90">
        <f>L2801*(1+BW2801/100)</f>
        <v>0</v>
      </c>
      <c r="N2801" s="90">
        <v>4.0000000000000003E-5</v>
      </c>
      <c r="O2801" s="90">
        <f>G2801*N2801</f>
        <v>4.0000000000000003E-5</v>
      </c>
      <c r="P2801" s="92" t="s">
        <v>578</v>
      </c>
      <c r="Z2801" s="93">
        <f>IF(AQ2801="5",BJ2801,0)</f>
        <v>0</v>
      </c>
      <c r="AB2801" s="93">
        <f>IF(AQ2801="1",BH2801,0)</f>
        <v>0</v>
      </c>
      <c r="AC2801" s="93">
        <f>IF(AQ2801="1",BI2801,0)</f>
        <v>0</v>
      </c>
      <c r="AD2801" s="93">
        <f>IF(AQ2801="7",BH2801,0)</f>
        <v>0</v>
      </c>
      <c r="AE2801" s="93">
        <f>IF(AQ2801="7",BI2801,0)</f>
        <v>0</v>
      </c>
      <c r="AF2801" s="93">
        <f>IF(AQ2801="2",BH2801,0)</f>
        <v>0</v>
      </c>
      <c r="AG2801" s="93">
        <f>IF(AQ2801="2",BI2801,0)</f>
        <v>0</v>
      </c>
      <c r="AH2801" s="93">
        <f>IF(AQ2801="0",BJ2801,0)</f>
        <v>0</v>
      </c>
      <c r="AI2801" s="88" t="s">
        <v>4072</v>
      </c>
      <c r="AJ2801" s="93">
        <f>IF(AN2801=0,L2801,0)</f>
        <v>0</v>
      </c>
      <c r="AK2801" s="93">
        <f>IF(AN2801=12,L2801,0)</f>
        <v>0</v>
      </c>
      <c r="AL2801" s="93">
        <f>IF(AN2801=21,L2801,0)</f>
        <v>0</v>
      </c>
      <c r="AN2801" s="93">
        <v>21</v>
      </c>
      <c r="AO2801" s="93">
        <f>H2801*0.23</f>
        <v>0</v>
      </c>
      <c r="AP2801" s="93">
        <f>H2801*(1-0.23)</f>
        <v>0</v>
      </c>
      <c r="AQ2801" s="94" t="s">
        <v>59</v>
      </c>
      <c r="AV2801" s="93">
        <f>AW2801+AX2801</f>
        <v>0</v>
      </c>
      <c r="AW2801" s="93">
        <f>G2801*AO2801</f>
        <v>0</v>
      </c>
      <c r="AX2801" s="93">
        <f>G2801*AP2801</f>
        <v>0</v>
      </c>
      <c r="AY2801" s="94" t="s">
        <v>1320</v>
      </c>
      <c r="AZ2801" s="94" t="s">
        <v>4114</v>
      </c>
      <c r="BA2801" s="88" t="s">
        <v>4080</v>
      </c>
      <c r="BC2801" s="93">
        <f>AW2801+AX2801</f>
        <v>0</v>
      </c>
      <c r="BD2801" s="93">
        <f>H2801/(100-BE2801)*100</f>
        <v>0</v>
      </c>
      <c r="BE2801" s="93">
        <v>0</v>
      </c>
      <c r="BF2801" s="93">
        <f>O2801</f>
        <v>4.0000000000000003E-5</v>
      </c>
      <c r="BH2801" s="93">
        <f>G2801*AO2801</f>
        <v>0</v>
      </c>
      <c r="BI2801" s="93">
        <f>G2801*AP2801</f>
        <v>0</v>
      </c>
      <c r="BJ2801" s="93">
        <f>G2801*H2801</f>
        <v>0</v>
      </c>
      <c r="BK2801" s="93"/>
      <c r="BL2801" s="93">
        <v>95</v>
      </c>
      <c r="BW2801" s="93" t="str">
        <f>I2801</f>
        <v>21</v>
      </c>
      <c r="BX2801" s="2" t="s">
        <v>4285</v>
      </c>
    </row>
    <row r="2802" spans="1:76" s="81" customFormat="1" ht="13.5" customHeight="1" x14ac:dyDescent="0.25">
      <c r="A2802" s="110"/>
      <c r="B2802" s="95"/>
      <c r="C2802" s="95"/>
      <c r="D2802" s="179" t="s">
        <v>4286</v>
      </c>
      <c r="E2802" s="179"/>
      <c r="F2802" s="179"/>
      <c r="G2802" s="179"/>
      <c r="H2802" s="179"/>
      <c r="I2802" s="179"/>
      <c r="J2802" s="179"/>
      <c r="K2802" s="179"/>
      <c r="L2802" s="179"/>
      <c r="M2802" s="179"/>
      <c r="N2802" s="179"/>
      <c r="O2802" s="179"/>
      <c r="P2802" s="179"/>
    </row>
    <row r="2803" spans="1:76" s="81" customFormat="1" x14ac:dyDescent="0.25">
      <c r="A2803" s="66" t="s">
        <v>4150</v>
      </c>
      <c r="B2803" s="72" t="s">
        <v>4072</v>
      </c>
      <c r="C2803" s="72" t="s">
        <v>4287</v>
      </c>
      <c r="D2803" s="174" t="s">
        <v>4302</v>
      </c>
      <c r="E2803" s="174"/>
      <c r="F2803" s="72" t="s">
        <v>1332</v>
      </c>
      <c r="G2803" s="90">
        <v>1</v>
      </c>
      <c r="H2803" s="91"/>
      <c r="I2803" s="92" t="s">
        <v>63</v>
      </c>
      <c r="J2803" s="90">
        <f>G2803*AO2803</f>
        <v>0</v>
      </c>
      <c r="K2803" s="90">
        <f>G2803*AP2803</f>
        <v>0</v>
      </c>
      <c r="L2803" s="90">
        <f>G2803*H2803</f>
        <v>0</v>
      </c>
      <c r="M2803" s="90">
        <f>L2803*(1+BW2803/100)</f>
        <v>0</v>
      </c>
      <c r="N2803" s="90">
        <v>4.0000000000000003E-5</v>
      </c>
      <c r="O2803" s="90">
        <f>G2803*N2803</f>
        <v>4.0000000000000003E-5</v>
      </c>
      <c r="P2803" s="92" t="s">
        <v>578</v>
      </c>
      <c r="Z2803" s="93">
        <f>IF(AQ2803="5",BJ2803,0)</f>
        <v>0</v>
      </c>
      <c r="AB2803" s="93">
        <f>IF(AQ2803="1",BH2803,0)</f>
        <v>0</v>
      </c>
      <c r="AC2803" s="93">
        <f>IF(AQ2803="1",BI2803,0)</f>
        <v>0</v>
      </c>
      <c r="AD2803" s="93">
        <f>IF(AQ2803="7",BH2803,0)</f>
        <v>0</v>
      </c>
      <c r="AE2803" s="93">
        <f>IF(AQ2803="7",BI2803,0)</f>
        <v>0</v>
      </c>
      <c r="AF2803" s="93">
        <f>IF(AQ2803="2",BH2803,0)</f>
        <v>0</v>
      </c>
      <c r="AG2803" s="93">
        <f>IF(AQ2803="2",BI2803,0)</f>
        <v>0</v>
      </c>
      <c r="AH2803" s="93">
        <f>IF(AQ2803="0",BJ2803,0)</f>
        <v>0</v>
      </c>
      <c r="AI2803" s="88" t="s">
        <v>4072</v>
      </c>
      <c r="AJ2803" s="93">
        <f>IF(AN2803=0,L2803,0)</f>
        <v>0</v>
      </c>
      <c r="AK2803" s="93">
        <f>IF(AN2803=12,L2803,0)</f>
        <v>0</v>
      </c>
      <c r="AL2803" s="93">
        <f>IF(AN2803=21,L2803,0)</f>
        <v>0</v>
      </c>
      <c r="AN2803" s="93">
        <v>21</v>
      </c>
      <c r="AO2803" s="93">
        <f>H2803*0.4</f>
        <v>0</v>
      </c>
      <c r="AP2803" s="93">
        <f>H2803*(1-0.4)</f>
        <v>0</v>
      </c>
      <c r="AQ2803" s="94" t="s">
        <v>59</v>
      </c>
      <c r="AV2803" s="93">
        <f>AW2803+AX2803</f>
        <v>0</v>
      </c>
      <c r="AW2803" s="93">
        <f>G2803*AO2803</f>
        <v>0</v>
      </c>
      <c r="AX2803" s="93">
        <f>G2803*AP2803</f>
        <v>0</v>
      </c>
      <c r="AY2803" s="94" t="s">
        <v>1320</v>
      </c>
      <c r="AZ2803" s="94" t="s">
        <v>4114</v>
      </c>
      <c r="BA2803" s="88" t="s">
        <v>4080</v>
      </c>
      <c r="BC2803" s="93">
        <f>AW2803+AX2803</f>
        <v>0</v>
      </c>
      <c r="BD2803" s="93">
        <f>H2803/(100-BE2803)*100</f>
        <v>0</v>
      </c>
      <c r="BE2803" s="93">
        <v>0</v>
      </c>
      <c r="BF2803" s="93">
        <f>O2803</f>
        <v>4.0000000000000003E-5</v>
      </c>
      <c r="BH2803" s="93">
        <f>G2803*AO2803</f>
        <v>0</v>
      </c>
      <c r="BI2803" s="93">
        <f>G2803*AP2803</f>
        <v>0</v>
      </c>
      <c r="BJ2803" s="93">
        <f>G2803*H2803</f>
        <v>0</v>
      </c>
      <c r="BK2803" s="93"/>
      <c r="BL2803" s="93">
        <v>95</v>
      </c>
      <c r="BW2803" s="93" t="str">
        <f>I2803</f>
        <v>21</v>
      </c>
      <c r="BX2803" s="2" t="s">
        <v>4288</v>
      </c>
    </row>
    <row r="2804" spans="1:76" s="81" customFormat="1" ht="13.5" customHeight="1" x14ac:dyDescent="0.25">
      <c r="A2804" s="110"/>
      <c r="B2804" s="95"/>
      <c r="C2804" s="95"/>
      <c r="D2804" s="179" t="s">
        <v>4289</v>
      </c>
      <c r="E2804" s="179"/>
      <c r="F2804" s="179"/>
      <c r="G2804" s="179"/>
      <c r="H2804" s="179"/>
      <c r="I2804" s="179"/>
      <c r="J2804" s="179"/>
      <c r="K2804" s="179"/>
      <c r="L2804" s="179"/>
      <c r="M2804" s="179"/>
      <c r="N2804" s="179"/>
      <c r="O2804" s="179"/>
      <c r="P2804" s="179"/>
    </row>
    <row r="2805" spans="1:76" s="81" customFormat="1" x14ac:dyDescent="0.25">
      <c r="A2805" s="66" t="s">
        <v>4157</v>
      </c>
      <c r="B2805" s="72" t="s">
        <v>4072</v>
      </c>
      <c r="C2805" s="72" t="s">
        <v>4290</v>
      </c>
      <c r="D2805" s="174" t="s">
        <v>4291</v>
      </c>
      <c r="E2805" s="174"/>
      <c r="F2805" s="72" t="s">
        <v>203</v>
      </c>
      <c r="G2805" s="90">
        <v>2</v>
      </c>
      <c r="H2805" s="91"/>
      <c r="I2805" s="92" t="s">
        <v>63</v>
      </c>
      <c r="J2805" s="90">
        <f>G2805*AO2805</f>
        <v>0</v>
      </c>
      <c r="K2805" s="90">
        <f>G2805*AP2805</f>
        <v>0</v>
      </c>
      <c r="L2805" s="90">
        <f>G2805*H2805</f>
        <v>0</v>
      </c>
      <c r="M2805" s="90">
        <f>L2805*(1+BW2805/100)</f>
        <v>0</v>
      </c>
      <c r="N2805" s="90">
        <v>4.0000000000000003E-5</v>
      </c>
      <c r="O2805" s="90">
        <f>G2805*N2805</f>
        <v>8.0000000000000007E-5</v>
      </c>
      <c r="P2805" s="92" t="s">
        <v>578</v>
      </c>
      <c r="Z2805" s="93">
        <f>IF(AQ2805="5",BJ2805,0)</f>
        <v>0</v>
      </c>
      <c r="AB2805" s="93">
        <f>IF(AQ2805="1",BH2805,0)</f>
        <v>0</v>
      </c>
      <c r="AC2805" s="93">
        <f>IF(AQ2805="1",BI2805,0)</f>
        <v>0</v>
      </c>
      <c r="AD2805" s="93">
        <f>IF(AQ2805="7",BH2805,0)</f>
        <v>0</v>
      </c>
      <c r="AE2805" s="93">
        <f>IF(AQ2805="7",BI2805,0)</f>
        <v>0</v>
      </c>
      <c r="AF2805" s="93">
        <f>IF(AQ2805="2",BH2805,0)</f>
        <v>0</v>
      </c>
      <c r="AG2805" s="93">
        <f>IF(AQ2805="2",BI2805,0)</f>
        <v>0</v>
      </c>
      <c r="AH2805" s="93">
        <f>IF(AQ2805="0",BJ2805,0)</f>
        <v>0</v>
      </c>
      <c r="AI2805" s="88" t="s">
        <v>4072</v>
      </c>
      <c r="AJ2805" s="93">
        <f>IF(AN2805=0,L2805,0)</f>
        <v>0</v>
      </c>
      <c r="AK2805" s="93">
        <f>IF(AN2805=12,L2805,0)</f>
        <v>0</v>
      </c>
      <c r="AL2805" s="93">
        <f>IF(AN2805=21,L2805,0)</f>
        <v>0</v>
      </c>
      <c r="AN2805" s="93">
        <v>21</v>
      </c>
      <c r="AO2805" s="93">
        <f>H2805*0.75</f>
        <v>0</v>
      </c>
      <c r="AP2805" s="93">
        <f>H2805*(1-0.75)</f>
        <v>0</v>
      </c>
      <c r="AQ2805" s="94" t="s">
        <v>59</v>
      </c>
      <c r="AV2805" s="93">
        <f>AW2805+AX2805</f>
        <v>0</v>
      </c>
      <c r="AW2805" s="93">
        <f>G2805*AO2805</f>
        <v>0</v>
      </c>
      <c r="AX2805" s="93">
        <f>G2805*AP2805</f>
        <v>0</v>
      </c>
      <c r="AY2805" s="94" t="s">
        <v>1320</v>
      </c>
      <c r="AZ2805" s="94" t="s">
        <v>4114</v>
      </c>
      <c r="BA2805" s="88" t="s">
        <v>4080</v>
      </c>
      <c r="BC2805" s="93">
        <f>AW2805+AX2805</f>
        <v>0</v>
      </c>
      <c r="BD2805" s="93">
        <f>H2805/(100-BE2805)*100</f>
        <v>0</v>
      </c>
      <c r="BE2805" s="93">
        <v>0</v>
      </c>
      <c r="BF2805" s="93">
        <f>O2805</f>
        <v>8.0000000000000007E-5</v>
      </c>
      <c r="BH2805" s="93">
        <f>G2805*AO2805</f>
        <v>0</v>
      </c>
      <c r="BI2805" s="93">
        <f>G2805*AP2805</f>
        <v>0</v>
      </c>
      <c r="BJ2805" s="93">
        <f>G2805*H2805</f>
        <v>0</v>
      </c>
      <c r="BK2805" s="93"/>
      <c r="BL2805" s="93">
        <v>95</v>
      </c>
      <c r="BW2805" s="93" t="str">
        <f>I2805</f>
        <v>21</v>
      </c>
      <c r="BX2805" s="2" t="s">
        <v>4291</v>
      </c>
    </row>
    <row r="2806" spans="1:76" s="81" customFormat="1" ht="13.5" customHeight="1" x14ac:dyDescent="0.25">
      <c r="A2806" s="110"/>
      <c r="B2806" s="95"/>
      <c r="C2806" s="95"/>
      <c r="D2806" s="179" t="s">
        <v>4292</v>
      </c>
      <c r="E2806" s="179"/>
      <c r="F2806" s="179"/>
      <c r="G2806" s="179"/>
      <c r="H2806" s="179"/>
      <c r="I2806" s="179"/>
      <c r="J2806" s="179"/>
      <c r="K2806" s="179"/>
      <c r="L2806" s="179"/>
      <c r="M2806" s="179"/>
      <c r="N2806" s="179"/>
      <c r="O2806" s="179"/>
      <c r="P2806" s="179"/>
    </row>
    <row r="2807" spans="1:76" s="81" customFormat="1" x14ac:dyDescent="0.25">
      <c r="A2807" s="66" t="s">
        <v>4163</v>
      </c>
      <c r="B2807" s="72" t="s">
        <v>4072</v>
      </c>
      <c r="C2807" s="72" t="s">
        <v>4125</v>
      </c>
      <c r="D2807" s="174" t="s">
        <v>4293</v>
      </c>
      <c r="E2807" s="174"/>
      <c r="F2807" s="72" t="s">
        <v>1332</v>
      </c>
      <c r="G2807" s="90">
        <v>1</v>
      </c>
      <c r="H2807" s="91"/>
      <c r="I2807" s="92" t="s">
        <v>63</v>
      </c>
      <c r="J2807" s="90">
        <f>G2807*AO2807</f>
        <v>0</v>
      </c>
      <c r="K2807" s="90">
        <f>G2807*AP2807</f>
        <v>0</v>
      </c>
      <c r="L2807" s="90">
        <f>G2807*H2807</f>
        <v>0</v>
      </c>
      <c r="M2807" s="90">
        <f>L2807*(1+BW2807/100)</f>
        <v>0</v>
      </c>
      <c r="N2807" s="90">
        <v>4.0000000000000003E-5</v>
      </c>
      <c r="O2807" s="90">
        <f>G2807*N2807</f>
        <v>4.0000000000000003E-5</v>
      </c>
      <c r="P2807" s="92" t="s">
        <v>578</v>
      </c>
      <c r="Z2807" s="93">
        <f>IF(AQ2807="5",BJ2807,0)</f>
        <v>0</v>
      </c>
      <c r="AB2807" s="93">
        <f>IF(AQ2807="1",BH2807,0)</f>
        <v>0</v>
      </c>
      <c r="AC2807" s="93">
        <f>IF(AQ2807="1",BI2807,0)</f>
        <v>0</v>
      </c>
      <c r="AD2807" s="93">
        <f>IF(AQ2807="7",BH2807,0)</f>
        <v>0</v>
      </c>
      <c r="AE2807" s="93">
        <f>IF(AQ2807="7",BI2807,0)</f>
        <v>0</v>
      </c>
      <c r="AF2807" s="93">
        <f>IF(AQ2807="2",BH2807,0)</f>
        <v>0</v>
      </c>
      <c r="AG2807" s="93">
        <f>IF(AQ2807="2",BI2807,0)</f>
        <v>0</v>
      </c>
      <c r="AH2807" s="93">
        <f>IF(AQ2807="0",BJ2807,0)</f>
        <v>0</v>
      </c>
      <c r="AI2807" s="88" t="s">
        <v>4072</v>
      </c>
      <c r="AJ2807" s="93">
        <f>IF(AN2807=0,L2807,0)</f>
        <v>0</v>
      </c>
      <c r="AK2807" s="93">
        <f>IF(AN2807=12,L2807,0)</f>
        <v>0</v>
      </c>
      <c r="AL2807" s="93">
        <f>IF(AN2807=21,L2807,0)</f>
        <v>0</v>
      </c>
      <c r="AN2807" s="93">
        <v>21</v>
      </c>
      <c r="AO2807" s="93">
        <f>H2807*0.6</f>
        <v>0</v>
      </c>
      <c r="AP2807" s="93">
        <f>H2807*(1-0.6)</f>
        <v>0</v>
      </c>
      <c r="AQ2807" s="94" t="s">
        <v>59</v>
      </c>
      <c r="AV2807" s="93">
        <f>AW2807+AX2807</f>
        <v>0</v>
      </c>
      <c r="AW2807" s="93">
        <f>G2807*AO2807</f>
        <v>0</v>
      </c>
      <c r="AX2807" s="93">
        <f>G2807*AP2807</f>
        <v>0</v>
      </c>
      <c r="AY2807" s="94" t="s">
        <v>1320</v>
      </c>
      <c r="AZ2807" s="94" t="s">
        <v>4114</v>
      </c>
      <c r="BA2807" s="88" t="s">
        <v>4080</v>
      </c>
      <c r="BC2807" s="93">
        <f>AW2807+AX2807</f>
        <v>0</v>
      </c>
      <c r="BD2807" s="93">
        <f>H2807/(100-BE2807)*100</f>
        <v>0</v>
      </c>
      <c r="BE2807" s="93">
        <v>0</v>
      </c>
      <c r="BF2807" s="93">
        <f>O2807</f>
        <v>4.0000000000000003E-5</v>
      </c>
      <c r="BH2807" s="93">
        <f>G2807*AO2807</f>
        <v>0</v>
      </c>
      <c r="BI2807" s="93">
        <f>G2807*AP2807</f>
        <v>0</v>
      </c>
      <c r="BJ2807" s="93">
        <f>G2807*H2807</f>
        <v>0</v>
      </c>
      <c r="BK2807" s="93"/>
      <c r="BL2807" s="93">
        <v>95</v>
      </c>
      <c r="BW2807" s="93" t="str">
        <f>I2807</f>
        <v>21</v>
      </c>
      <c r="BX2807" s="2" t="s">
        <v>4293</v>
      </c>
    </row>
    <row r="2808" spans="1:76" s="81" customFormat="1" ht="13.5" customHeight="1" x14ac:dyDescent="0.25">
      <c r="A2808" s="110"/>
      <c r="B2808" s="95"/>
      <c r="C2808" s="95"/>
      <c r="D2808" s="179" t="s">
        <v>4294</v>
      </c>
      <c r="E2808" s="179"/>
      <c r="F2808" s="179"/>
      <c r="G2808" s="179"/>
      <c r="H2808" s="179"/>
      <c r="I2808" s="179"/>
      <c r="J2808" s="179"/>
      <c r="K2808" s="179"/>
      <c r="L2808" s="179"/>
      <c r="M2808" s="179"/>
      <c r="N2808" s="179"/>
      <c r="O2808" s="179"/>
      <c r="P2808" s="179"/>
    </row>
    <row r="2809" spans="1:76" s="81" customFormat="1" x14ac:dyDescent="0.25">
      <c r="A2809" s="66" t="s">
        <v>4168</v>
      </c>
      <c r="B2809" s="72" t="s">
        <v>4072</v>
      </c>
      <c r="C2809" s="72" t="s">
        <v>4295</v>
      </c>
      <c r="D2809" s="174" t="s">
        <v>4296</v>
      </c>
      <c r="E2809" s="174"/>
      <c r="F2809" s="72" t="s">
        <v>1332</v>
      </c>
      <c r="G2809" s="90">
        <v>1</v>
      </c>
      <c r="H2809" s="91"/>
      <c r="I2809" s="92" t="s">
        <v>63</v>
      </c>
      <c r="J2809" s="90">
        <f>G2809*AO2809</f>
        <v>0</v>
      </c>
      <c r="K2809" s="90">
        <f>G2809*AP2809</f>
        <v>0</v>
      </c>
      <c r="L2809" s="90">
        <f>G2809*H2809</f>
        <v>0</v>
      </c>
      <c r="M2809" s="90">
        <f>L2809*(1+BW2809/100)</f>
        <v>0</v>
      </c>
      <c r="N2809" s="90">
        <v>4.0000000000000003E-5</v>
      </c>
      <c r="O2809" s="90">
        <f>G2809*N2809</f>
        <v>4.0000000000000003E-5</v>
      </c>
      <c r="P2809" s="92" t="s">
        <v>578</v>
      </c>
      <c r="Z2809" s="93">
        <f>IF(AQ2809="5",BJ2809,0)</f>
        <v>0</v>
      </c>
      <c r="AB2809" s="93">
        <f>IF(AQ2809="1",BH2809,0)</f>
        <v>0</v>
      </c>
      <c r="AC2809" s="93">
        <f>IF(AQ2809="1",BI2809,0)</f>
        <v>0</v>
      </c>
      <c r="AD2809" s="93">
        <f>IF(AQ2809="7",BH2809,0)</f>
        <v>0</v>
      </c>
      <c r="AE2809" s="93">
        <f>IF(AQ2809="7",BI2809,0)</f>
        <v>0</v>
      </c>
      <c r="AF2809" s="93">
        <f>IF(AQ2809="2",BH2809,0)</f>
        <v>0</v>
      </c>
      <c r="AG2809" s="93">
        <f>IF(AQ2809="2",BI2809,0)</f>
        <v>0</v>
      </c>
      <c r="AH2809" s="93">
        <f>IF(AQ2809="0",BJ2809,0)</f>
        <v>0</v>
      </c>
      <c r="AI2809" s="88" t="s">
        <v>4072</v>
      </c>
      <c r="AJ2809" s="93">
        <f>IF(AN2809=0,L2809,0)</f>
        <v>0</v>
      </c>
      <c r="AK2809" s="93">
        <f>IF(AN2809=12,L2809,0)</f>
        <v>0</v>
      </c>
      <c r="AL2809" s="93">
        <f>IF(AN2809=21,L2809,0)</f>
        <v>0</v>
      </c>
      <c r="AN2809" s="93">
        <v>21</v>
      </c>
      <c r="AO2809" s="93">
        <f>H2809*0.23</f>
        <v>0</v>
      </c>
      <c r="AP2809" s="93">
        <f>H2809*(1-0.23)</f>
        <v>0</v>
      </c>
      <c r="AQ2809" s="94" t="s">
        <v>59</v>
      </c>
      <c r="AV2809" s="93">
        <f>AW2809+AX2809</f>
        <v>0</v>
      </c>
      <c r="AW2809" s="93">
        <f>G2809*AO2809</f>
        <v>0</v>
      </c>
      <c r="AX2809" s="93">
        <f>G2809*AP2809</f>
        <v>0</v>
      </c>
      <c r="AY2809" s="94" t="s">
        <v>1320</v>
      </c>
      <c r="AZ2809" s="94" t="s">
        <v>4114</v>
      </c>
      <c r="BA2809" s="88" t="s">
        <v>4080</v>
      </c>
      <c r="BC2809" s="93">
        <f>AW2809+AX2809</f>
        <v>0</v>
      </c>
      <c r="BD2809" s="93">
        <f>H2809/(100-BE2809)*100</f>
        <v>0</v>
      </c>
      <c r="BE2809" s="93">
        <v>0</v>
      </c>
      <c r="BF2809" s="93">
        <f>O2809</f>
        <v>4.0000000000000003E-5</v>
      </c>
      <c r="BH2809" s="93">
        <f>G2809*AO2809</f>
        <v>0</v>
      </c>
      <c r="BI2809" s="93">
        <f>G2809*AP2809</f>
        <v>0</v>
      </c>
      <c r="BJ2809" s="93">
        <f>G2809*H2809</f>
        <v>0</v>
      </c>
      <c r="BK2809" s="93"/>
      <c r="BL2809" s="93">
        <v>95</v>
      </c>
      <c r="BW2809" s="93" t="str">
        <f>I2809</f>
        <v>21</v>
      </c>
      <c r="BX2809" s="2" t="s">
        <v>4296</v>
      </c>
    </row>
    <row r="2810" spans="1:76" s="81" customFormat="1" ht="13.5" customHeight="1" x14ac:dyDescent="0.25">
      <c r="A2810" s="110"/>
      <c r="B2810" s="95"/>
      <c r="C2810" s="95"/>
      <c r="D2810" s="179" t="s">
        <v>4297</v>
      </c>
      <c r="E2810" s="179"/>
      <c r="F2810" s="179"/>
      <c r="G2810" s="179"/>
      <c r="H2810" s="179"/>
      <c r="I2810" s="179"/>
      <c r="J2810" s="179"/>
      <c r="K2810" s="179"/>
      <c r="L2810" s="179"/>
      <c r="M2810" s="179"/>
      <c r="N2810" s="179"/>
      <c r="O2810" s="179"/>
      <c r="P2810" s="179"/>
    </row>
    <row r="2811" spans="1:76" s="81" customFormat="1" x14ac:dyDescent="0.25">
      <c r="A2811" s="109" t="s">
        <v>54</v>
      </c>
      <c r="B2811" s="74" t="s">
        <v>4072</v>
      </c>
      <c r="C2811" s="74" t="s">
        <v>845</v>
      </c>
      <c r="D2811" s="180" t="s">
        <v>1334</v>
      </c>
      <c r="E2811" s="180"/>
      <c r="F2811" s="85" t="s">
        <v>4</v>
      </c>
      <c r="G2811" s="85" t="s">
        <v>4</v>
      </c>
      <c r="H2811" s="85" t="s">
        <v>4</v>
      </c>
      <c r="I2811" s="85" t="s">
        <v>4</v>
      </c>
      <c r="J2811" s="86">
        <f>SUM(J2812:J2826)</f>
        <v>0</v>
      </c>
      <c r="K2811" s="86">
        <f>SUM(K2812:K2826)</f>
        <v>0</v>
      </c>
      <c r="L2811" s="86">
        <f>SUM(L2812:L2826)</f>
        <v>0</v>
      </c>
      <c r="M2811" s="86">
        <f>SUM(M2812:M2826)</f>
        <v>0</v>
      </c>
      <c r="N2811" s="87" t="s">
        <v>54</v>
      </c>
      <c r="O2811" s="86">
        <f>SUM(O2812:O2826)</f>
        <v>1697.1724988000001</v>
      </c>
      <c r="P2811" s="87" t="s">
        <v>54</v>
      </c>
      <c r="AI2811" s="88" t="s">
        <v>4072</v>
      </c>
      <c r="AS2811" s="89">
        <f>SUM(AJ2812:AJ2826)</f>
        <v>0</v>
      </c>
      <c r="AT2811" s="89">
        <f>SUM(AK2812:AK2826)</f>
        <v>0</v>
      </c>
      <c r="AU2811" s="89">
        <f>SUM(AL2812:AL2826)</f>
        <v>0</v>
      </c>
    </row>
    <row r="2812" spans="1:76" s="81" customFormat="1" x14ac:dyDescent="0.25">
      <c r="A2812" s="66" t="s">
        <v>4175</v>
      </c>
      <c r="B2812" s="72" t="s">
        <v>4072</v>
      </c>
      <c r="C2812" s="72" t="s">
        <v>4127</v>
      </c>
      <c r="D2812" s="174" t="s">
        <v>4128</v>
      </c>
      <c r="E2812" s="174"/>
      <c r="F2812" s="72" t="s">
        <v>62</v>
      </c>
      <c r="G2812" s="90">
        <v>2879.34</v>
      </c>
      <c r="H2812" s="91"/>
      <c r="I2812" s="92" t="s">
        <v>63</v>
      </c>
      <c r="J2812" s="90">
        <f>G2812*AO2812</f>
        <v>0</v>
      </c>
      <c r="K2812" s="90">
        <f>G2812*AP2812</f>
        <v>0</v>
      </c>
      <c r="L2812" s="90">
        <f>G2812*H2812</f>
        <v>0</v>
      </c>
      <c r="M2812" s="90">
        <f>L2812*(1+BW2812/100)</f>
        <v>0</v>
      </c>
      <c r="N2812" s="90">
        <v>0.35082000000000002</v>
      </c>
      <c r="O2812" s="90">
        <f>G2812*N2812</f>
        <v>1010.1300588000001</v>
      </c>
      <c r="P2812" s="92" t="s">
        <v>578</v>
      </c>
      <c r="Z2812" s="93">
        <f>IF(AQ2812="5",BJ2812,0)</f>
        <v>0</v>
      </c>
      <c r="AB2812" s="93">
        <f>IF(AQ2812="1",BH2812,0)</f>
        <v>0</v>
      </c>
      <c r="AC2812" s="93">
        <f>IF(AQ2812="1",BI2812,0)</f>
        <v>0</v>
      </c>
      <c r="AD2812" s="93">
        <f>IF(AQ2812="7",BH2812,0)</f>
        <v>0</v>
      </c>
      <c r="AE2812" s="93">
        <f>IF(AQ2812="7",BI2812,0)</f>
        <v>0</v>
      </c>
      <c r="AF2812" s="93">
        <f>IF(AQ2812="2",BH2812,0)</f>
        <v>0</v>
      </c>
      <c r="AG2812" s="93">
        <f>IF(AQ2812="2",BI2812,0)</f>
        <v>0</v>
      </c>
      <c r="AH2812" s="93">
        <f>IF(AQ2812="0",BJ2812,0)</f>
        <v>0</v>
      </c>
      <c r="AI2812" s="88" t="s">
        <v>4072</v>
      </c>
      <c r="AJ2812" s="93">
        <f>IF(AN2812=0,L2812,0)</f>
        <v>0</v>
      </c>
      <c r="AK2812" s="93">
        <f>IF(AN2812=12,L2812,0)</f>
        <v>0</v>
      </c>
      <c r="AL2812" s="93">
        <f>IF(AN2812=21,L2812,0)</f>
        <v>0</v>
      </c>
      <c r="AN2812" s="93">
        <v>21</v>
      </c>
      <c r="AO2812" s="93">
        <f>H2812*0.028156621</f>
        <v>0</v>
      </c>
      <c r="AP2812" s="93">
        <f>H2812*(1-0.028156621)</f>
        <v>0</v>
      </c>
      <c r="AQ2812" s="94" t="s">
        <v>59</v>
      </c>
      <c r="AV2812" s="93">
        <f>AW2812+AX2812</f>
        <v>0</v>
      </c>
      <c r="AW2812" s="93">
        <f>G2812*AO2812</f>
        <v>0</v>
      </c>
      <c r="AX2812" s="93">
        <f>G2812*AP2812</f>
        <v>0</v>
      </c>
      <c r="AY2812" s="94" t="s">
        <v>1338</v>
      </c>
      <c r="AZ2812" s="94" t="s">
        <v>4114</v>
      </c>
      <c r="BA2812" s="88" t="s">
        <v>4080</v>
      </c>
      <c r="BC2812" s="93">
        <f>AW2812+AX2812</f>
        <v>0</v>
      </c>
      <c r="BD2812" s="93">
        <f>H2812/(100-BE2812)*100</f>
        <v>0</v>
      </c>
      <c r="BE2812" s="93">
        <v>0</v>
      </c>
      <c r="BF2812" s="93">
        <f>O2812</f>
        <v>1010.1300588000001</v>
      </c>
      <c r="BH2812" s="93">
        <f>G2812*AO2812</f>
        <v>0</v>
      </c>
      <c r="BI2812" s="93">
        <f>G2812*AP2812</f>
        <v>0</v>
      </c>
      <c r="BJ2812" s="93">
        <f>G2812*H2812</f>
        <v>0</v>
      </c>
      <c r="BK2812" s="93"/>
      <c r="BL2812" s="93">
        <v>98</v>
      </c>
      <c r="BW2812" s="93" t="str">
        <f>I2812</f>
        <v>21</v>
      </c>
      <c r="BX2812" s="2" t="s">
        <v>4128</v>
      </c>
    </row>
    <row r="2813" spans="1:76" s="81" customFormat="1" ht="27" customHeight="1" x14ac:dyDescent="0.25">
      <c r="A2813" s="110"/>
      <c r="B2813" s="95"/>
      <c r="C2813" s="95"/>
      <c r="D2813" s="179" t="s">
        <v>4129</v>
      </c>
      <c r="E2813" s="179"/>
      <c r="F2813" s="179"/>
      <c r="G2813" s="179"/>
      <c r="H2813" s="179"/>
      <c r="I2813" s="179"/>
      <c r="J2813" s="179"/>
      <c r="K2813" s="179"/>
      <c r="L2813" s="179"/>
      <c r="M2813" s="179"/>
      <c r="N2813" s="179"/>
      <c r="O2813" s="179"/>
      <c r="P2813" s="179"/>
    </row>
    <row r="2814" spans="1:76" s="81" customFormat="1" x14ac:dyDescent="0.25">
      <c r="A2814" s="110"/>
      <c r="B2814" s="95"/>
      <c r="C2814" s="95"/>
      <c r="D2814" s="76" t="s">
        <v>54</v>
      </c>
      <c r="E2814" s="76" t="s">
        <v>4130</v>
      </c>
      <c r="F2814" s="95"/>
      <c r="G2814" s="96">
        <v>0</v>
      </c>
      <c r="H2814" s="95"/>
      <c r="I2814" s="95"/>
      <c r="J2814" s="95"/>
      <c r="K2814" s="95"/>
      <c r="L2814" s="95"/>
      <c r="M2814" s="95"/>
      <c r="N2814" s="95"/>
      <c r="O2814" s="95"/>
      <c r="P2814" s="95"/>
    </row>
    <row r="2815" spans="1:76" s="81" customFormat="1" x14ac:dyDescent="0.25">
      <c r="A2815" s="110"/>
      <c r="B2815" s="95"/>
      <c r="C2815" s="95"/>
      <c r="D2815" s="76" t="s">
        <v>4131</v>
      </c>
      <c r="E2815" s="76" t="s">
        <v>54</v>
      </c>
      <c r="F2815" s="95"/>
      <c r="G2815" s="96">
        <v>2879.34</v>
      </c>
      <c r="H2815" s="95"/>
      <c r="I2815" s="95"/>
      <c r="J2815" s="95"/>
      <c r="K2815" s="95"/>
      <c r="L2815" s="95"/>
      <c r="M2815" s="95"/>
      <c r="N2815" s="95"/>
      <c r="O2815" s="95"/>
      <c r="P2815" s="95"/>
    </row>
    <row r="2816" spans="1:76" s="81" customFormat="1" x14ac:dyDescent="0.25">
      <c r="A2816" s="66" t="s">
        <v>4179</v>
      </c>
      <c r="B2816" s="72" t="s">
        <v>4072</v>
      </c>
      <c r="C2816" s="72" t="s">
        <v>4133</v>
      </c>
      <c r="D2816" s="174" t="s">
        <v>4134</v>
      </c>
      <c r="E2816" s="174"/>
      <c r="F2816" s="72" t="s">
        <v>62</v>
      </c>
      <c r="G2816" s="90">
        <v>1631</v>
      </c>
      <c r="H2816" s="91"/>
      <c r="I2816" s="92" t="s">
        <v>63</v>
      </c>
      <c r="J2816" s="90">
        <f>G2816*AO2816</f>
        <v>0</v>
      </c>
      <c r="K2816" s="90">
        <f>G2816*AP2816</f>
        <v>0</v>
      </c>
      <c r="L2816" s="90">
        <f>G2816*H2816</f>
        <v>0</v>
      </c>
      <c r="M2816" s="90">
        <f>L2816*(1+BW2816/100)</f>
        <v>0</v>
      </c>
      <c r="N2816" s="90">
        <v>0.42124</v>
      </c>
      <c r="O2816" s="90">
        <f>G2816*N2816</f>
        <v>687.04244000000006</v>
      </c>
      <c r="P2816" s="92" t="s">
        <v>578</v>
      </c>
      <c r="Z2816" s="93">
        <f>IF(AQ2816="5",BJ2816,0)</f>
        <v>0</v>
      </c>
      <c r="AB2816" s="93">
        <f>IF(AQ2816="1",BH2816,0)</f>
        <v>0</v>
      </c>
      <c r="AC2816" s="93">
        <f>IF(AQ2816="1",BI2816,0)</f>
        <v>0</v>
      </c>
      <c r="AD2816" s="93">
        <f>IF(AQ2816="7",BH2816,0)</f>
        <v>0</v>
      </c>
      <c r="AE2816" s="93">
        <f>IF(AQ2816="7",BI2816,0)</f>
        <v>0</v>
      </c>
      <c r="AF2816" s="93">
        <f>IF(AQ2816="2",BH2816,0)</f>
        <v>0</v>
      </c>
      <c r="AG2816" s="93">
        <f>IF(AQ2816="2",BI2816,0)</f>
        <v>0</v>
      </c>
      <c r="AH2816" s="93">
        <f>IF(AQ2816="0",BJ2816,0)</f>
        <v>0</v>
      </c>
      <c r="AI2816" s="88" t="s">
        <v>4072</v>
      </c>
      <c r="AJ2816" s="93">
        <f>IF(AN2816=0,L2816,0)</f>
        <v>0</v>
      </c>
      <c r="AK2816" s="93">
        <f>IF(AN2816=12,L2816,0)</f>
        <v>0</v>
      </c>
      <c r="AL2816" s="93">
        <f>IF(AN2816=21,L2816,0)</f>
        <v>0</v>
      </c>
      <c r="AN2816" s="93">
        <v>21</v>
      </c>
      <c r="AO2816" s="93">
        <f>H2816*0.022789641</f>
        <v>0</v>
      </c>
      <c r="AP2816" s="93">
        <f>H2816*(1-0.022789641)</f>
        <v>0</v>
      </c>
      <c r="AQ2816" s="94" t="s">
        <v>59</v>
      </c>
      <c r="AV2816" s="93">
        <f>AW2816+AX2816</f>
        <v>0</v>
      </c>
      <c r="AW2816" s="93">
        <f>G2816*AO2816</f>
        <v>0</v>
      </c>
      <c r="AX2816" s="93">
        <f>G2816*AP2816</f>
        <v>0</v>
      </c>
      <c r="AY2816" s="94" t="s">
        <v>1338</v>
      </c>
      <c r="AZ2816" s="94" t="s">
        <v>4114</v>
      </c>
      <c r="BA2816" s="88" t="s">
        <v>4080</v>
      </c>
      <c r="BC2816" s="93">
        <f>AW2816+AX2816</f>
        <v>0</v>
      </c>
      <c r="BD2816" s="93">
        <f>H2816/(100-BE2816)*100</f>
        <v>0</v>
      </c>
      <c r="BE2816" s="93">
        <v>0</v>
      </c>
      <c r="BF2816" s="93">
        <f>O2816</f>
        <v>687.04244000000006</v>
      </c>
      <c r="BH2816" s="93">
        <f>G2816*AO2816</f>
        <v>0</v>
      </c>
      <c r="BI2816" s="93">
        <f>G2816*AP2816</f>
        <v>0</v>
      </c>
      <c r="BJ2816" s="93">
        <f>G2816*H2816</f>
        <v>0</v>
      </c>
      <c r="BK2816" s="93"/>
      <c r="BL2816" s="93">
        <v>98</v>
      </c>
      <c r="BW2816" s="93" t="str">
        <f>I2816</f>
        <v>21</v>
      </c>
      <c r="BX2816" s="2" t="s">
        <v>4134</v>
      </c>
    </row>
    <row r="2817" spans="1:76" s="81" customFormat="1" ht="31.5" customHeight="1" x14ac:dyDescent="0.25">
      <c r="A2817" s="110"/>
      <c r="B2817" s="95"/>
      <c r="C2817" s="95"/>
      <c r="D2817" s="179" t="s">
        <v>4129</v>
      </c>
      <c r="E2817" s="179"/>
      <c r="F2817" s="179"/>
      <c r="G2817" s="179"/>
      <c r="H2817" s="179"/>
      <c r="I2817" s="179"/>
      <c r="J2817" s="179"/>
      <c r="K2817" s="179"/>
      <c r="L2817" s="179"/>
      <c r="M2817" s="179"/>
      <c r="N2817" s="179"/>
      <c r="O2817" s="179"/>
      <c r="P2817" s="179"/>
    </row>
    <row r="2818" spans="1:76" s="81" customFormat="1" x14ac:dyDescent="0.25">
      <c r="A2818" s="110"/>
      <c r="B2818" s="95"/>
      <c r="C2818" s="95"/>
      <c r="D2818" s="76" t="s">
        <v>54</v>
      </c>
      <c r="E2818" s="76" t="s">
        <v>4130</v>
      </c>
      <c r="F2818" s="95"/>
      <c r="G2818" s="96">
        <v>0</v>
      </c>
      <c r="H2818" s="97"/>
      <c r="I2818" s="95"/>
      <c r="J2818" s="95"/>
      <c r="K2818" s="95"/>
      <c r="L2818" s="95"/>
      <c r="M2818" s="95"/>
      <c r="N2818" s="95"/>
      <c r="O2818" s="95"/>
      <c r="P2818" s="95"/>
    </row>
    <row r="2819" spans="1:76" s="81" customFormat="1" x14ac:dyDescent="0.25">
      <c r="A2819" s="110"/>
      <c r="B2819" s="95"/>
      <c r="C2819" s="95"/>
      <c r="D2819" s="76" t="s">
        <v>4135</v>
      </c>
      <c r="E2819" s="76" t="s">
        <v>54</v>
      </c>
      <c r="F2819" s="95"/>
      <c r="G2819" s="96">
        <v>1631</v>
      </c>
      <c r="H2819" s="97"/>
      <c r="I2819" s="95"/>
      <c r="J2819" s="95"/>
      <c r="K2819" s="95"/>
      <c r="L2819" s="95"/>
      <c r="M2819" s="95"/>
      <c r="N2819" s="95"/>
      <c r="O2819" s="95"/>
      <c r="P2819" s="95"/>
    </row>
    <row r="2820" spans="1:76" s="81" customFormat="1" x14ac:dyDescent="0.25">
      <c r="A2820" s="66" t="s">
        <v>4184</v>
      </c>
      <c r="B2820" s="72" t="s">
        <v>4072</v>
      </c>
      <c r="C2820" s="72" t="s">
        <v>4137</v>
      </c>
      <c r="D2820" s="174" t="s">
        <v>4138</v>
      </c>
      <c r="E2820" s="174"/>
      <c r="F2820" s="72" t="s">
        <v>222</v>
      </c>
      <c r="G2820" s="90">
        <v>1692.789</v>
      </c>
      <c r="H2820" s="91"/>
      <c r="I2820" s="92" t="s">
        <v>63</v>
      </c>
      <c r="J2820" s="90">
        <f>G2820*AO2820</f>
        <v>0</v>
      </c>
      <c r="K2820" s="90">
        <f>G2820*AP2820</f>
        <v>0</v>
      </c>
      <c r="L2820" s="90">
        <f>G2820*H2820</f>
        <v>0</v>
      </c>
      <c r="M2820" s="90">
        <f>L2820*(1+BW2820/100)</f>
        <v>0</v>
      </c>
      <c r="N2820" s="90">
        <v>0</v>
      </c>
      <c r="O2820" s="90">
        <f>G2820*N2820</f>
        <v>0</v>
      </c>
      <c r="P2820" s="92" t="s">
        <v>64</v>
      </c>
      <c r="Z2820" s="93">
        <f>IF(AQ2820="5",BJ2820,0)</f>
        <v>0</v>
      </c>
      <c r="AB2820" s="93">
        <f>IF(AQ2820="1",BH2820,0)</f>
        <v>0</v>
      </c>
      <c r="AC2820" s="93">
        <f>IF(AQ2820="1",BI2820,0)</f>
        <v>0</v>
      </c>
      <c r="AD2820" s="93">
        <f>IF(AQ2820="7",BH2820,0)</f>
        <v>0</v>
      </c>
      <c r="AE2820" s="93">
        <f>IF(AQ2820="7",BI2820,0)</f>
        <v>0</v>
      </c>
      <c r="AF2820" s="93">
        <f>IF(AQ2820="2",BH2820,0)</f>
        <v>0</v>
      </c>
      <c r="AG2820" s="93">
        <f>IF(AQ2820="2",BI2820,0)</f>
        <v>0</v>
      </c>
      <c r="AH2820" s="93">
        <f>IF(AQ2820="0",BJ2820,0)</f>
        <v>0</v>
      </c>
      <c r="AI2820" s="88" t="s">
        <v>4072</v>
      </c>
      <c r="AJ2820" s="93">
        <f>IF(AN2820=0,L2820,0)</f>
        <v>0</v>
      </c>
      <c r="AK2820" s="93">
        <f>IF(AN2820=12,L2820,0)</f>
        <v>0</v>
      </c>
      <c r="AL2820" s="93">
        <f>IF(AN2820=21,L2820,0)</f>
        <v>0</v>
      </c>
      <c r="AN2820" s="93">
        <v>21</v>
      </c>
      <c r="AO2820" s="93">
        <f>H2820*0</f>
        <v>0</v>
      </c>
      <c r="AP2820" s="93">
        <f>H2820*(1-0)</f>
        <v>0</v>
      </c>
      <c r="AQ2820" s="94" t="s">
        <v>136</v>
      </c>
      <c r="AV2820" s="93">
        <f>AW2820+AX2820</f>
        <v>0</v>
      </c>
      <c r="AW2820" s="93">
        <f>G2820*AO2820</f>
        <v>0</v>
      </c>
      <c r="AX2820" s="93">
        <f>G2820*AP2820</f>
        <v>0</v>
      </c>
      <c r="AY2820" s="94" t="s">
        <v>1338</v>
      </c>
      <c r="AZ2820" s="94" t="s">
        <v>4114</v>
      </c>
      <c r="BA2820" s="88" t="s">
        <v>4080</v>
      </c>
      <c r="BC2820" s="93">
        <f>AW2820+AX2820</f>
        <v>0</v>
      </c>
      <c r="BD2820" s="93">
        <f>H2820/(100-BE2820)*100</f>
        <v>0</v>
      </c>
      <c r="BE2820" s="93">
        <v>0</v>
      </c>
      <c r="BF2820" s="93">
        <f>O2820</f>
        <v>0</v>
      </c>
      <c r="BH2820" s="93">
        <f>G2820*AO2820</f>
        <v>0</v>
      </c>
      <c r="BI2820" s="93">
        <f>G2820*AP2820</f>
        <v>0</v>
      </c>
      <c r="BJ2820" s="93">
        <f>G2820*H2820</f>
        <v>0</v>
      </c>
      <c r="BK2820" s="93"/>
      <c r="BL2820" s="93">
        <v>98</v>
      </c>
      <c r="BW2820" s="93" t="str">
        <f>I2820</f>
        <v>21</v>
      </c>
      <c r="BX2820" s="2" t="s">
        <v>4138</v>
      </c>
    </row>
    <row r="2821" spans="1:76" s="81" customFormat="1" x14ac:dyDescent="0.25">
      <c r="A2821" s="66" t="s">
        <v>4190</v>
      </c>
      <c r="B2821" s="72" t="s">
        <v>4072</v>
      </c>
      <c r="C2821" s="72" t="s">
        <v>4140</v>
      </c>
      <c r="D2821" s="174" t="s">
        <v>4141</v>
      </c>
      <c r="E2821" s="174"/>
      <c r="F2821" s="72" t="s">
        <v>222</v>
      </c>
      <c r="G2821" s="90">
        <v>32162.991000000002</v>
      </c>
      <c r="H2821" s="91"/>
      <c r="I2821" s="92" t="s">
        <v>63</v>
      </c>
      <c r="J2821" s="90">
        <f>G2821*AO2821</f>
        <v>0</v>
      </c>
      <c r="K2821" s="90">
        <f>G2821*AP2821</f>
        <v>0</v>
      </c>
      <c r="L2821" s="90">
        <f>G2821*H2821</f>
        <v>0</v>
      </c>
      <c r="M2821" s="90">
        <f>L2821*(1+BW2821/100)</f>
        <v>0</v>
      </c>
      <c r="N2821" s="90">
        <v>0</v>
      </c>
      <c r="O2821" s="90">
        <f>G2821*N2821</f>
        <v>0</v>
      </c>
      <c r="P2821" s="92" t="s">
        <v>64</v>
      </c>
      <c r="Z2821" s="93">
        <f>IF(AQ2821="5",BJ2821,0)</f>
        <v>0</v>
      </c>
      <c r="AB2821" s="93">
        <f>IF(AQ2821="1",BH2821,0)</f>
        <v>0</v>
      </c>
      <c r="AC2821" s="93">
        <f>IF(AQ2821="1",BI2821,0)</f>
        <v>0</v>
      </c>
      <c r="AD2821" s="93">
        <f>IF(AQ2821="7",BH2821,0)</f>
        <v>0</v>
      </c>
      <c r="AE2821" s="93">
        <f>IF(AQ2821="7",BI2821,0)</f>
        <v>0</v>
      </c>
      <c r="AF2821" s="93">
        <f>IF(AQ2821="2",BH2821,0)</f>
        <v>0</v>
      </c>
      <c r="AG2821" s="93">
        <f>IF(AQ2821="2",BI2821,0)</f>
        <v>0</v>
      </c>
      <c r="AH2821" s="93">
        <f>IF(AQ2821="0",BJ2821,0)</f>
        <v>0</v>
      </c>
      <c r="AI2821" s="88" t="s">
        <v>4072</v>
      </c>
      <c r="AJ2821" s="93">
        <f>IF(AN2821=0,L2821,0)</f>
        <v>0</v>
      </c>
      <c r="AK2821" s="93">
        <f>IF(AN2821=12,L2821,0)</f>
        <v>0</v>
      </c>
      <c r="AL2821" s="93">
        <f>IF(AN2821=21,L2821,0)</f>
        <v>0</v>
      </c>
      <c r="AN2821" s="93">
        <v>21</v>
      </c>
      <c r="AO2821" s="93">
        <f>H2821*0</f>
        <v>0</v>
      </c>
      <c r="AP2821" s="93">
        <f>H2821*(1-0)</f>
        <v>0</v>
      </c>
      <c r="AQ2821" s="94" t="s">
        <v>136</v>
      </c>
      <c r="AV2821" s="93">
        <f>AW2821+AX2821</f>
        <v>0</v>
      </c>
      <c r="AW2821" s="93">
        <f>G2821*AO2821</f>
        <v>0</v>
      </c>
      <c r="AX2821" s="93">
        <f>G2821*AP2821</f>
        <v>0</v>
      </c>
      <c r="AY2821" s="94" t="s">
        <v>1338</v>
      </c>
      <c r="AZ2821" s="94" t="s">
        <v>4114</v>
      </c>
      <c r="BA2821" s="88" t="s">
        <v>4080</v>
      </c>
      <c r="BC2821" s="93">
        <f>AW2821+AX2821</f>
        <v>0</v>
      </c>
      <c r="BD2821" s="93">
        <f>H2821/(100-BE2821)*100</f>
        <v>0</v>
      </c>
      <c r="BE2821" s="93">
        <v>0</v>
      </c>
      <c r="BF2821" s="93">
        <f>O2821</f>
        <v>0</v>
      </c>
      <c r="BH2821" s="93">
        <f>G2821*AO2821</f>
        <v>0</v>
      </c>
      <c r="BI2821" s="93">
        <f>G2821*AP2821</f>
        <v>0</v>
      </c>
      <c r="BJ2821" s="93">
        <f>G2821*H2821</f>
        <v>0</v>
      </c>
      <c r="BK2821" s="93"/>
      <c r="BL2821" s="93">
        <v>98</v>
      </c>
      <c r="BW2821" s="93" t="str">
        <f>I2821</f>
        <v>21</v>
      </c>
      <c r="BX2821" s="2" t="s">
        <v>4141</v>
      </c>
    </row>
    <row r="2822" spans="1:76" s="81" customFormat="1" x14ac:dyDescent="0.25">
      <c r="A2822" s="110"/>
      <c r="B2822" s="95"/>
      <c r="C2822" s="95"/>
      <c r="D2822" s="76" t="s">
        <v>4142</v>
      </c>
      <c r="E2822" s="76" t="s">
        <v>54</v>
      </c>
      <c r="F2822" s="95"/>
      <c r="G2822" s="96">
        <v>32162.991000000002</v>
      </c>
      <c r="H2822" s="97"/>
      <c r="I2822" s="95"/>
      <c r="J2822" s="95"/>
      <c r="K2822" s="95"/>
      <c r="L2822" s="95"/>
      <c r="M2822" s="95"/>
      <c r="N2822" s="95"/>
      <c r="O2822" s="95"/>
      <c r="P2822" s="95"/>
    </row>
    <row r="2823" spans="1:76" s="81" customFormat="1" x14ac:dyDescent="0.25">
      <c r="A2823" s="66" t="s">
        <v>4193</v>
      </c>
      <c r="B2823" s="72" t="s">
        <v>4072</v>
      </c>
      <c r="C2823" s="72" t="s">
        <v>4144</v>
      </c>
      <c r="D2823" s="174" t="s">
        <v>4145</v>
      </c>
      <c r="E2823" s="174"/>
      <c r="F2823" s="72" t="s">
        <v>222</v>
      </c>
      <c r="G2823" s="90">
        <v>1184.9522999999999</v>
      </c>
      <c r="H2823" s="91"/>
      <c r="I2823" s="92" t="s">
        <v>63</v>
      </c>
      <c r="J2823" s="90">
        <f>G2823*AO2823</f>
        <v>0</v>
      </c>
      <c r="K2823" s="90">
        <f>G2823*AP2823</f>
        <v>0</v>
      </c>
      <c r="L2823" s="90">
        <f>G2823*H2823</f>
        <v>0</v>
      </c>
      <c r="M2823" s="90">
        <f>L2823*(1+BW2823/100)</f>
        <v>0</v>
      </c>
      <c r="N2823" s="90">
        <v>0</v>
      </c>
      <c r="O2823" s="90">
        <f>G2823*N2823</f>
        <v>0</v>
      </c>
      <c r="P2823" s="92" t="s">
        <v>64</v>
      </c>
      <c r="Z2823" s="93">
        <f>IF(AQ2823="5",BJ2823,0)</f>
        <v>0</v>
      </c>
      <c r="AB2823" s="93">
        <f>IF(AQ2823="1",BH2823,0)</f>
        <v>0</v>
      </c>
      <c r="AC2823" s="93">
        <f>IF(AQ2823="1",BI2823,0)</f>
        <v>0</v>
      </c>
      <c r="AD2823" s="93">
        <f>IF(AQ2823="7",BH2823,0)</f>
        <v>0</v>
      </c>
      <c r="AE2823" s="93">
        <f>IF(AQ2823="7",BI2823,0)</f>
        <v>0</v>
      </c>
      <c r="AF2823" s="93">
        <f>IF(AQ2823="2",BH2823,0)</f>
        <v>0</v>
      </c>
      <c r="AG2823" s="93">
        <f>IF(AQ2823="2",BI2823,0)</f>
        <v>0</v>
      </c>
      <c r="AH2823" s="93">
        <f>IF(AQ2823="0",BJ2823,0)</f>
        <v>0</v>
      </c>
      <c r="AI2823" s="88" t="s">
        <v>4072</v>
      </c>
      <c r="AJ2823" s="93">
        <f>IF(AN2823=0,L2823,0)</f>
        <v>0</v>
      </c>
      <c r="AK2823" s="93">
        <f>IF(AN2823=12,L2823,0)</f>
        <v>0</v>
      </c>
      <c r="AL2823" s="93">
        <f>IF(AN2823=21,L2823,0)</f>
        <v>0</v>
      </c>
      <c r="AN2823" s="93">
        <v>21</v>
      </c>
      <c r="AO2823" s="93">
        <f>H2823*0</f>
        <v>0</v>
      </c>
      <c r="AP2823" s="93">
        <f>H2823*(1-0)</f>
        <v>0</v>
      </c>
      <c r="AQ2823" s="94" t="s">
        <v>136</v>
      </c>
      <c r="AV2823" s="93">
        <f>AW2823+AX2823</f>
        <v>0</v>
      </c>
      <c r="AW2823" s="93">
        <f>G2823*AO2823</f>
        <v>0</v>
      </c>
      <c r="AX2823" s="93">
        <f>G2823*AP2823</f>
        <v>0</v>
      </c>
      <c r="AY2823" s="94" t="s">
        <v>1338</v>
      </c>
      <c r="AZ2823" s="94" t="s">
        <v>4114</v>
      </c>
      <c r="BA2823" s="88" t="s">
        <v>4080</v>
      </c>
      <c r="BC2823" s="93">
        <f>AW2823+AX2823</f>
        <v>0</v>
      </c>
      <c r="BD2823" s="93">
        <f>H2823/(100-BE2823)*100</f>
        <v>0</v>
      </c>
      <c r="BE2823" s="93">
        <v>0</v>
      </c>
      <c r="BF2823" s="93">
        <f>O2823</f>
        <v>0</v>
      </c>
      <c r="BH2823" s="93">
        <f>G2823*AO2823</f>
        <v>0</v>
      </c>
      <c r="BI2823" s="93">
        <f>G2823*AP2823</f>
        <v>0</v>
      </c>
      <c r="BJ2823" s="93">
        <f>G2823*H2823</f>
        <v>0</v>
      </c>
      <c r="BK2823" s="93"/>
      <c r="BL2823" s="93">
        <v>98</v>
      </c>
      <c r="BW2823" s="93" t="str">
        <f>I2823</f>
        <v>21</v>
      </c>
      <c r="BX2823" s="2" t="s">
        <v>4145</v>
      </c>
    </row>
    <row r="2824" spans="1:76" s="81" customFormat="1" x14ac:dyDescent="0.25">
      <c r="A2824" s="66" t="s">
        <v>4198</v>
      </c>
      <c r="B2824" s="72" t="s">
        <v>4072</v>
      </c>
      <c r="C2824" s="72" t="s">
        <v>4147</v>
      </c>
      <c r="D2824" s="174" t="s">
        <v>4148</v>
      </c>
      <c r="E2824" s="174"/>
      <c r="F2824" s="72" t="s">
        <v>222</v>
      </c>
      <c r="G2824" s="90">
        <v>449.91635000000002</v>
      </c>
      <c r="H2824" s="91"/>
      <c r="I2824" s="92" t="s">
        <v>63</v>
      </c>
      <c r="J2824" s="90">
        <f>G2824*AO2824</f>
        <v>0</v>
      </c>
      <c r="K2824" s="90">
        <f>G2824*AP2824</f>
        <v>0</v>
      </c>
      <c r="L2824" s="90">
        <f>G2824*H2824</f>
        <v>0</v>
      </c>
      <c r="M2824" s="90">
        <f>L2824*(1+BW2824/100)</f>
        <v>0</v>
      </c>
      <c r="N2824" s="90">
        <v>0</v>
      </c>
      <c r="O2824" s="90">
        <f>G2824*N2824</f>
        <v>0</v>
      </c>
      <c r="P2824" s="92" t="s">
        <v>64</v>
      </c>
      <c r="Z2824" s="93">
        <f>IF(AQ2824="5",BJ2824,0)</f>
        <v>0</v>
      </c>
      <c r="AB2824" s="93">
        <f>IF(AQ2824="1",BH2824,0)</f>
        <v>0</v>
      </c>
      <c r="AC2824" s="93">
        <f>IF(AQ2824="1",BI2824,0)</f>
        <v>0</v>
      </c>
      <c r="AD2824" s="93">
        <f>IF(AQ2824="7",BH2824,0)</f>
        <v>0</v>
      </c>
      <c r="AE2824" s="93">
        <f>IF(AQ2824="7",BI2824,0)</f>
        <v>0</v>
      </c>
      <c r="AF2824" s="93">
        <f>IF(AQ2824="2",BH2824,0)</f>
        <v>0</v>
      </c>
      <c r="AG2824" s="93">
        <f>IF(AQ2824="2",BI2824,0)</f>
        <v>0</v>
      </c>
      <c r="AH2824" s="93">
        <f>IF(AQ2824="0",BJ2824,0)</f>
        <v>0</v>
      </c>
      <c r="AI2824" s="88" t="s">
        <v>4072</v>
      </c>
      <c r="AJ2824" s="93">
        <f>IF(AN2824=0,L2824,0)</f>
        <v>0</v>
      </c>
      <c r="AK2824" s="93">
        <f>IF(AN2824=12,L2824,0)</f>
        <v>0</v>
      </c>
      <c r="AL2824" s="93">
        <f>IF(AN2824=21,L2824,0)</f>
        <v>0</v>
      </c>
      <c r="AN2824" s="93">
        <v>21</v>
      </c>
      <c r="AO2824" s="93">
        <f>H2824*0</f>
        <v>0</v>
      </c>
      <c r="AP2824" s="93">
        <f>H2824*(1-0)</f>
        <v>0</v>
      </c>
      <c r="AQ2824" s="94" t="s">
        <v>136</v>
      </c>
      <c r="AV2824" s="93">
        <f>AW2824+AX2824</f>
        <v>0</v>
      </c>
      <c r="AW2824" s="93">
        <f>G2824*AO2824</f>
        <v>0</v>
      </c>
      <c r="AX2824" s="93">
        <f>G2824*AP2824</f>
        <v>0</v>
      </c>
      <c r="AY2824" s="94" t="s">
        <v>1338</v>
      </c>
      <c r="AZ2824" s="94" t="s">
        <v>4114</v>
      </c>
      <c r="BA2824" s="88" t="s">
        <v>4080</v>
      </c>
      <c r="BC2824" s="93">
        <f>AW2824+AX2824</f>
        <v>0</v>
      </c>
      <c r="BD2824" s="93">
        <f>H2824/(100-BE2824)*100</f>
        <v>0</v>
      </c>
      <c r="BE2824" s="93">
        <v>0</v>
      </c>
      <c r="BF2824" s="93">
        <f>O2824</f>
        <v>0</v>
      </c>
      <c r="BH2824" s="93">
        <f>G2824*AO2824</f>
        <v>0</v>
      </c>
      <c r="BI2824" s="93">
        <f>G2824*AP2824</f>
        <v>0</v>
      </c>
      <c r="BJ2824" s="93">
        <f>G2824*H2824</f>
        <v>0</v>
      </c>
      <c r="BK2824" s="93"/>
      <c r="BL2824" s="93">
        <v>98</v>
      </c>
      <c r="BW2824" s="93" t="str">
        <f>I2824</f>
        <v>21</v>
      </c>
      <c r="BX2824" s="2" t="s">
        <v>4148</v>
      </c>
    </row>
    <row r="2825" spans="1:76" s="81" customFormat="1" ht="25.5" x14ac:dyDescent="0.25">
      <c r="A2825" s="110"/>
      <c r="B2825" s="95"/>
      <c r="C2825" s="95"/>
      <c r="D2825" s="76" t="s">
        <v>4149</v>
      </c>
      <c r="E2825" s="76" t="s">
        <v>54</v>
      </c>
      <c r="F2825" s="95"/>
      <c r="G2825" s="96">
        <v>449.91635000000002</v>
      </c>
      <c r="H2825" s="97"/>
      <c r="I2825" s="95"/>
      <c r="J2825" s="95"/>
      <c r="K2825" s="95"/>
      <c r="L2825" s="95"/>
      <c r="M2825" s="95"/>
      <c r="N2825" s="95"/>
      <c r="O2825" s="95"/>
      <c r="P2825" s="95"/>
    </row>
    <row r="2826" spans="1:76" s="81" customFormat="1" x14ac:dyDescent="0.25">
      <c r="A2826" s="66" t="s">
        <v>4203</v>
      </c>
      <c r="B2826" s="72" t="s">
        <v>4072</v>
      </c>
      <c r="C2826" s="72" t="s">
        <v>4151</v>
      </c>
      <c r="D2826" s="174" t="s">
        <v>4152</v>
      </c>
      <c r="E2826" s="174"/>
      <c r="F2826" s="72" t="s">
        <v>222</v>
      </c>
      <c r="G2826" s="90">
        <v>32.445500000000003</v>
      </c>
      <c r="H2826" s="91"/>
      <c r="I2826" s="92" t="s">
        <v>63</v>
      </c>
      <c r="J2826" s="90">
        <f>G2826*AO2826</f>
        <v>0</v>
      </c>
      <c r="K2826" s="90">
        <f>G2826*AP2826</f>
        <v>0</v>
      </c>
      <c r="L2826" s="90">
        <f>G2826*H2826</f>
        <v>0</v>
      </c>
      <c r="M2826" s="90">
        <f>L2826*(1+BW2826/100)</f>
        <v>0</v>
      </c>
      <c r="N2826" s="90">
        <v>0</v>
      </c>
      <c r="O2826" s="90">
        <f>G2826*N2826</f>
        <v>0</v>
      </c>
      <c r="P2826" s="92" t="s">
        <v>64</v>
      </c>
      <c r="Z2826" s="93">
        <f>IF(AQ2826="5",BJ2826,0)</f>
        <v>0</v>
      </c>
      <c r="AB2826" s="93">
        <f>IF(AQ2826="1",BH2826,0)</f>
        <v>0</v>
      </c>
      <c r="AC2826" s="93">
        <f>IF(AQ2826="1",BI2826,0)</f>
        <v>0</v>
      </c>
      <c r="AD2826" s="93">
        <f>IF(AQ2826="7",BH2826,0)</f>
        <v>0</v>
      </c>
      <c r="AE2826" s="93">
        <f>IF(AQ2826="7",BI2826,0)</f>
        <v>0</v>
      </c>
      <c r="AF2826" s="93">
        <f>IF(AQ2826="2",BH2826,0)</f>
        <v>0</v>
      </c>
      <c r="AG2826" s="93">
        <f>IF(AQ2826="2",BI2826,0)</f>
        <v>0</v>
      </c>
      <c r="AH2826" s="93">
        <f>IF(AQ2826="0",BJ2826,0)</f>
        <v>0</v>
      </c>
      <c r="AI2826" s="88" t="s">
        <v>4072</v>
      </c>
      <c r="AJ2826" s="93">
        <f>IF(AN2826=0,L2826,0)</f>
        <v>0</v>
      </c>
      <c r="AK2826" s="93">
        <f>IF(AN2826=12,L2826,0)</f>
        <v>0</v>
      </c>
      <c r="AL2826" s="93">
        <f>IF(AN2826=21,L2826,0)</f>
        <v>0</v>
      </c>
      <c r="AN2826" s="93">
        <v>21</v>
      </c>
      <c r="AO2826" s="93">
        <f>H2826*0</f>
        <v>0</v>
      </c>
      <c r="AP2826" s="93">
        <f>H2826*(1-0)</f>
        <v>0</v>
      </c>
      <c r="AQ2826" s="94" t="s">
        <v>136</v>
      </c>
      <c r="AV2826" s="93">
        <f>AW2826+AX2826</f>
        <v>0</v>
      </c>
      <c r="AW2826" s="93">
        <f>G2826*AO2826</f>
        <v>0</v>
      </c>
      <c r="AX2826" s="93">
        <f>G2826*AP2826</f>
        <v>0</v>
      </c>
      <c r="AY2826" s="94" t="s">
        <v>1338</v>
      </c>
      <c r="AZ2826" s="94" t="s">
        <v>4114</v>
      </c>
      <c r="BA2826" s="88" t="s">
        <v>4080</v>
      </c>
      <c r="BC2826" s="93">
        <f>AW2826+AX2826</f>
        <v>0</v>
      </c>
      <c r="BD2826" s="93">
        <f>H2826/(100-BE2826)*100</f>
        <v>0</v>
      </c>
      <c r="BE2826" s="93">
        <v>0</v>
      </c>
      <c r="BF2826" s="93">
        <f>O2826</f>
        <v>0</v>
      </c>
      <c r="BH2826" s="93">
        <f>G2826*AO2826</f>
        <v>0</v>
      </c>
      <c r="BI2826" s="93">
        <f>G2826*AP2826</f>
        <v>0</v>
      </c>
      <c r="BJ2826" s="93">
        <f>G2826*H2826</f>
        <v>0</v>
      </c>
      <c r="BK2826" s="93"/>
      <c r="BL2826" s="93">
        <v>98</v>
      </c>
      <c r="BW2826" s="93" t="str">
        <f>I2826</f>
        <v>21</v>
      </c>
      <c r="BX2826" s="2" t="s">
        <v>4152</v>
      </c>
    </row>
    <row r="2827" spans="1:76" s="81" customFormat="1" x14ac:dyDescent="0.25">
      <c r="A2827" s="109" t="s">
        <v>54</v>
      </c>
      <c r="B2827" s="74" t="s">
        <v>4072</v>
      </c>
      <c r="C2827" s="74" t="s">
        <v>4153</v>
      </c>
      <c r="D2827" s="180" t="s">
        <v>4154</v>
      </c>
      <c r="E2827" s="180"/>
      <c r="F2827" s="85" t="s">
        <v>4</v>
      </c>
      <c r="G2827" s="85" t="s">
        <v>4</v>
      </c>
      <c r="H2827" s="98" t="s">
        <v>4</v>
      </c>
      <c r="I2827" s="85" t="s">
        <v>4</v>
      </c>
      <c r="J2827" s="86">
        <f>J2828+J2831+J2834+J2837+J2839+J2842+J2844</f>
        <v>0</v>
      </c>
      <c r="K2827" s="86">
        <f>K2828+K2831+K2834+K2837+K2839+K2842+K2844</f>
        <v>0</v>
      </c>
      <c r="L2827" s="86">
        <f>L2828+L2831+L2834+L2837+L2839+L2842+L2844</f>
        <v>0</v>
      </c>
      <c r="M2827" s="86">
        <f>M2828+M2831+M2834+M2837+M2839+M2842+M2844</f>
        <v>0</v>
      </c>
      <c r="N2827" s="87" t="s">
        <v>54</v>
      </c>
      <c r="O2827" s="86">
        <f>O2828+O2831+O2834+O2837+O2839+O2842+O2844</f>
        <v>0</v>
      </c>
      <c r="P2827" s="87" t="s">
        <v>54</v>
      </c>
      <c r="AI2827" s="88" t="s">
        <v>4072</v>
      </c>
    </row>
    <row r="2828" spans="1:76" s="81" customFormat="1" x14ac:dyDescent="0.25">
      <c r="A2828" s="109" t="s">
        <v>54</v>
      </c>
      <c r="B2828" s="74" t="s">
        <v>4072</v>
      </c>
      <c r="C2828" s="74" t="s">
        <v>4155</v>
      </c>
      <c r="D2828" s="180" t="s">
        <v>4156</v>
      </c>
      <c r="E2828" s="180"/>
      <c r="F2828" s="85" t="s">
        <v>4</v>
      </c>
      <c r="G2828" s="85" t="s">
        <v>4</v>
      </c>
      <c r="H2828" s="98" t="s">
        <v>4</v>
      </c>
      <c r="I2828" s="85" t="s">
        <v>4</v>
      </c>
      <c r="J2828" s="86">
        <f>SUM(J2829:J2830)</f>
        <v>0</v>
      </c>
      <c r="K2828" s="86">
        <f>SUM(K2829:K2830)</f>
        <v>0</v>
      </c>
      <c r="L2828" s="86">
        <f>SUM(L2829:L2830)</f>
        <v>0</v>
      </c>
      <c r="M2828" s="86">
        <f>SUM(M2829:M2830)</f>
        <v>0</v>
      </c>
      <c r="N2828" s="87" t="s">
        <v>54</v>
      </c>
      <c r="O2828" s="86">
        <f>SUM(O2829:O2830)</f>
        <v>0</v>
      </c>
      <c r="P2828" s="87" t="s">
        <v>54</v>
      </c>
      <c r="AI2828" s="88" t="s">
        <v>4072</v>
      </c>
      <c r="AS2828" s="89">
        <f>SUM(AJ2829:AJ2830)</f>
        <v>0</v>
      </c>
      <c r="AT2828" s="89">
        <f>SUM(AK2829:AK2830)</f>
        <v>0</v>
      </c>
      <c r="AU2828" s="89">
        <f>SUM(AL2829:AL2830)</f>
        <v>0</v>
      </c>
    </row>
    <row r="2829" spans="1:76" s="81" customFormat="1" ht="13.5" customHeight="1" x14ac:dyDescent="0.25">
      <c r="A2829" s="66" t="s">
        <v>4207</v>
      </c>
      <c r="B2829" s="72" t="s">
        <v>4072</v>
      </c>
      <c r="C2829" s="72" t="s">
        <v>4158</v>
      </c>
      <c r="D2829" s="174" t="s">
        <v>4159</v>
      </c>
      <c r="E2829" s="174"/>
      <c r="F2829" s="72" t="s">
        <v>4160</v>
      </c>
      <c r="G2829" s="90">
        <v>1</v>
      </c>
      <c r="H2829" s="91"/>
      <c r="I2829" s="92" t="s">
        <v>63</v>
      </c>
      <c r="J2829" s="90">
        <f>G2829*AO2829</f>
        <v>0</v>
      </c>
      <c r="K2829" s="90">
        <f>G2829*AP2829</f>
        <v>0</v>
      </c>
      <c r="L2829" s="90">
        <f>G2829*H2829</f>
        <v>0</v>
      </c>
      <c r="M2829" s="90">
        <f>L2829*(1+BW2829/100)</f>
        <v>0</v>
      </c>
      <c r="N2829" s="90">
        <v>0</v>
      </c>
      <c r="O2829" s="90">
        <f>G2829*N2829</f>
        <v>0</v>
      </c>
      <c r="P2829" s="92" t="s">
        <v>64</v>
      </c>
      <c r="Z2829" s="93">
        <f>IF(AQ2829="5",BJ2829,0)</f>
        <v>0</v>
      </c>
      <c r="AB2829" s="93">
        <f>IF(AQ2829="1",BH2829,0)</f>
        <v>0</v>
      </c>
      <c r="AC2829" s="93">
        <f>IF(AQ2829="1",BI2829,0)</f>
        <v>0</v>
      </c>
      <c r="AD2829" s="93">
        <f>IF(AQ2829="7",BH2829,0)</f>
        <v>0</v>
      </c>
      <c r="AE2829" s="93">
        <f>IF(AQ2829="7",BI2829,0)</f>
        <v>0</v>
      </c>
      <c r="AF2829" s="93">
        <f>IF(AQ2829="2",BH2829,0)</f>
        <v>0</v>
      </c>
      <c r="AG2829" s="93">
        <f>IF(AQ2829="2",BI2829,0)</f>
        <v>0</v>
      </c>
      <c r="AH2829" s="93">
        <f>IF(AQ2829="0",BJ2829,0)</f>
        <v>0</v>
      </c>
      <c r="AI2829" s="88" t="s">
        <v>4072</v>
      </c>
      <c r="AJ2829" s="93">
        <f>IF(AN2829=0,L2829,0)</f>
        <v>0</v>
      </c>
      <c r="AK2829" s="93">
        <f>IF(AN2829=12,L2829,0)</f>
        <v>0</v>
      </c>
      <c r="AL2829" s="93">
        <f>IF(AN2829=21,L2829,0)</f>
        <v>0</v>
      </c>
      <c r="AN2829" s="93">
        <v>21</v>
      </c>
      <c r="AO2829" s="93">
        <f>H2829*0</f>
        <v>0</v>
      </c>
      <c r="AP2829" s="93">
        <f>H2829*(1-0)</f>
        <v>0</v>
      </c>
      <c r="AQ2829" s="94" t="s">
        <v>852</v>
      </c>
      <c r="AV2829" s="93">
        <f>AW2829+AX2829</f>
        <v>0</v>
      </c>
      <c r="AW2829" s="93">
        <f>G2829*AO2829</f>
        <v>0</v>
      </c>
      <c r="AX2829" s="93">
        <f>G2829*AP2829</f>
        <v>0</v>
      </c>
      <c r="AY2829" s="94" t="s">
        <v>4161</v>
      </c>
      <c r="AZ2829" s="94" t="s">
        <v>4162</v>
      </c>
      <c r="BA2829" s="88" t="s">
        <v>4080</v>
      </c>
      <c r="BC2829" s="93">
        <f>AW2829+AX2829</f>
        <v>0</v>
      </c>
      <c r="BD2829" s="93">
        <f>H2829/(100-BE2829)*100</f>
        <v>0</v>
      </c>
      <c r="BE2829" s="93">
        <v>0</v>
      </c>
      <c r="BF2829" s="93">
        <f>O2829</f>
        <v>0</v>
      </c>
      <c r="BH2829" s="93">
        <f>G2829*AO2829</f>
        <v>0</v>
      </c>
      <c r="BI2829" s="93">
        <f>G2829*AP2829</f>
        <v>0</v>
      </c>
      <c r="BJ2829" s="93">
        <f>G2829*H2829</f>
        <v>0</v>
      </c>
      <c r="BK2829" s="93"/>
      <c r="BL2829" s="93"/>
      <c r="BM2829" s="93">
        <f>G2829*H2829</f>
        <v>0</v>
      </c>
      <c r="BW2829" s="93" t="str">
        <f>I2829</f>
        <v>21</v>
      </c>
      <c r="BX2829" s="2" t="s">
        <v>4159</v>
      </c>
    </row>
    <row r="2830" spans="1:76" s="81" customFormat="1" ht="13.5" customHeight="1" x14ac:dyDescent="0.25">
      <c r="A2830" s="66" t="s">
        <v>4209</v>
      </c>
      <c r="B2830" s="72" t="s">
        <v>4072</v>
      </c>
      <c r="C2830" s="72" t="s">
        <v>4164</v>
      </c>
      <c r="D2830" s="174" t="s">
        <v>4165</v>
      </c>
      <c r="E2830" s="174"/>
      <c r="F2830" s="72" t="s">
        <v>4160</v>
      </c>
      <c r="G2830" s="90">
        <v>1</v>
      </c>
      <c r="H2830" s="91"/>
      <c r="I2830" s="92" t="s">
        <v>63</v>
      </c>
      <c r="J2830" s="90">
        <f>G2830*AO2830</f>
        <v>0</v>
      </c>
      <c r="K2830" s="90">
        <f>G2830*AP2830</f>
        <v>0</v>
      </c>
      <c r="L2830" s="90">
        <f>G2830*H2830</f>
        <v>0</v>
      </c>
      <c r="M2830" s="90">
        <f>L2830*(1+BW2830/100)</f>
        <v>0</v>
      </c>
      <c r="N2830" s="90">
        <v>0</v>
      </c>
      <c r="O2830" s="90">
        <f>G2830*N2830</f>
        <v>0</v>
      </c>
      <c r="P2830" s="92" t="s">
        <v>64</v>
      </c>
      <c r="Z2830" s="93">
        <f>IF(AQ2830="5",BJ2830,0)</f>
        <v>0</v>
      </c>
      <c r="AB2830" s="93">
        <f>IF(AQ2830="1",BH2830,0)</f>
        <v>0</v>
      </c>
      <c r="AC2830" s="93">
        <f>IF(AQ2830="1",BI2830,0)</f>
        <v>0</v>
      </c>
      <c r="AD2830" s="93">
        <f>IF(AQ2830="7",BH2830,0)</f>
        <v>0</v>
      </c>
      <c r="AE2830" s="93">
        <f>IF(AQ2830="7",BI2830,0)</f>
        <v>0</v>
      </c>
      <c r="AF2830" s="93">
        <f>IF(AQ2830="2",BH2830,0)</f>
        <v>0</v>
      </c>
      <c r="AG2830" s="93">
        <f>IF(AQ2830="2",BI2830,0)</f>
        <v>0</v>
      </c>
      <c r="AH2830" s="93">
        <f>IF(AQ2830="0",BJ2830,0)</f>
        <v>0</v>
      </c>
      <c r="AI2830" s="88" t="s">
        <v>4072</v>
      </c>
      <c r="AJ2830" s="93">
        <f>IF(AN2830=0,L2830,0)</f>
        <v>0</v>
      </c>
      <c r="AK2830" s="93">
        <f>IF(AN2830=12,L2830,0)</f>
        <v>0</v>
      </c>
      <c r="AL2830" s="93">
        <f>IF(AN2830=21,L2830,0)</f>
        <v>0</v>
      </c>
      <c r="AN2830" s="93">
        <v>21</v>
      </c>
      <c r="AO2830" s="93">
        <f>H2830*0</f>
        <v>0</v>
      </c>
      <c r="AP2830" s="93">
        <f>H2830*(1-0)</f>
        <v>0</v>
      </c>
      <c r="AQ2830" s="94" t="s">
        <v>852</v>
      </c>
      <c r="AV2830" s="93">
        <f>AW2830+AX2830</f>
        <v>0</v>
      </c>
      <c r="AW2830" s="93">
        <f>G2830*AO2830</f>
        <v>0</v>
      </c>
      <c r="AX2830" s="93">
        <f>G2830*AP2830</f>
        <v>0</v>
      </c>
      <c r="AY2830" s="94" t="s">
        <v>4161</v>
      </c>
      <c r="AZ2830" s="94" t="s">
        <v>4162</v>
      </c>
      <c r="BA2830" s="88" t="s">
        <v>4080</v>
      </c>
      <c r="BC2830" s="93">
        <f>AW2830+AX2830</f>
        <v>0</v>
      </c>
      <c r="BD2830" s="93">
        <f>H2830/(100-BE2830)*100</f>
        <v>0</v>
      </c>
      <c r="BE2830" s="93">
        <v>0</v>
      </c>
      <c r="BF2830" s="93">
        <f>O2830</f>
        <v>0</v>
      </c>
      <c r="BH2830" s="93">
        <f>G2830*AO2830</f>
        <v>0</v>
      </c>
      <c r="BI2830" s="93">
        <f>G2830*AP2830</f>
        <v>0</v>
      </c>
      <c r="BJ2830" s="93">
        <f>G2830*H2830</f>
        <v>0</v>
      </c>
      <c r="BK2830" s="93"/>
      <c r="BL2830" s="93"/>
      <c r="BM2830" s="93">
        <f>G2830*H2830</f>
        <v>0</v>
      </c>
      <c r="BW2830" s="93" t="str">
        <f>I2830</f>
        <v>21</v>
      </c>
      <c r="BX2830" s="2" t="s">
        <v>4165</v>
      </c>
    </row>
    <row r="2831" spans="1:76" s="81" customFormat="1" ht="13.5" customHeight="1" x14ac:dyDescent="0.25">
      <c r="A2831" s="109" t="s">
        <v>54</v>
      </c>
      <c r="B2831" s="74" t="s">
        <v>4072</v>
      </c>
      <c r="C2831" s="74" t="s">
        <v>4166</v>
      </c>
      <c r="D2831" s="180" t="s">
        <v>4167</v>
      </c>
      <c r="E2831" s="180"/>
      <c r="F2831" s="85" t="s">
        <v>4</v>
      </c>
      <c r="G2831" s="85" t="s">
        <v>4</v>
      </c>
      <c r="H2831" s="98" t="s">
        <v>4</v>
      </c>
      <c r="I2831" s="85" t="s">
        <v>4</v>
      </c>
      <c r="J2831" s="86">
        <f>SUM(J2832:J2832)</f>
        <v>0</v>
      </c>
      <c r="K2831" s="86">
        <f>SUM(K2832:K2832)</f>
        <v>0</v>
      </c>
      <c r="L2831" s="86">
        <f>SUM(L2832:L2832)</f>
        <v>0</v>
      </c>
      <c r="M2831" s="86">
        <f>SUM(M2832:M2832)</f>
        <v>0</v>
      </c>
      <c r="N2831" s="87" t="s">
        <v>54</v>
      </c>
      <c r="O2831" s="86">
        <f>SUM(O2832:O2832)</f>
        <v>0</v>
      </c>
      <c r="P2831" s="87" t="s">
        <v>54</v>
      </c>
      <c r="AI2831" s="88" t="s">
        <v>4072</v>
      </c>
      <c r="AS2831" s="89">
        <f>SUM(AJ2832:AJ2832)</f>
        <v>0</v>
      </c>
      <c r="AT2831" s="89">
        <f>SUM(AK2832:AK2832)</f>
        <v>0</v>
      </c>
      <c r="AU2831" s="89">
        <f>SUM(AL2832:AL2832)</f>
        <v>0</v>
      </c>
    </row>
    <row r="2832" spans="1:76" s="81" customFormat="1" ht="13.5" customHeight="1" x14ac:dyDescent="0.25">
      <c r="A2832" s="66" t="s">
        <v>4213</v>
      </c>
      <c r="B2832" s="72" t="s">
        <v>4072</v>
      </c>
      <c r="C2832" s="72" t="s">
        <v>4169</v>
      </c>
      <c r="D2832" s="174" t="s">
        <v>4170</v>
      </c>
      <c r="E2832" s="174"/>
      <c r="F2832" s="72" t="s">
        <v>4160</v>
      </c>
      <c r="G2832" s="90">
        <v>1</v>
      </c>
      <c r="H2832" s="91"/>
      <c r="I2832" s="92" t="s">
        <v>63</v>
      </c>
      <c r="J2832" s="90">
        <f>G2832*AO2832</f>
        <v>0</v>
      </c>
      <c r="K2832" s="90">
        <f>G2832*AP2832</f>
        <v>0</v>
      </c>
      <c r="L2832" s="90">
        <f>G2832*H2832</f>
        <v>0</v>
      </c>
      <c r="M2832" s="90">
        <f>L2832*(1+BW2832/100)</f>
        <v>0</v>
      </c>
      <c r="N2832" s="90">
        <v>0</v>
      </c>
      <c r="O2832" s="90">
        <f>G2832*N2832</f>
        <v>0</v>
      </c>
      <c r="P2832" s="92" t="s">
        <v>64</v>
      </c>
      <c r="Z2832" s="93">
        <f>IF(AQ2832="5",BJ2832,0)</f>
        <v>0</v>
      </c>
      <c r="AB2832" s="93">
        <f>IF(AQ2832="1",BH2832,0)</f>
        <v>0</v>
      </c>
      <c r="AC2832" s="93">
        <f>IF(AQ2832="1",BI2832,0)</f>
        <v>0</v>
      </c>
      <c r="AD2832" s="93">
        <f>IF(AQ2832="7",BH2832,0)</f>
        <v>0</v>
      </c>
      <c r="AE2832" s="93">
        <f>IF(AQ2832="7",BI2832,0)</f>
        <v>0</v>
      </c>
      <c r="AF2832" s="93">
        <f>IF(AQ2832="2",BH2832,0)</f>
        <v>0</v>
      </c>
      <c r="AG2832" s="93">
        <f>IF(AQ2832="2",BI2832,0)</f>
        <v>0</v>
      </c>
      <c r="AH2832" s="93">
        <f>IF(AQ2832="0",BJ2832,0)</f>
        <v>0</v>
      </c>
      <c r="AI2832" s="88" t="s">
        <v>4072</v>
      </c>
      <c r="AJ2832" s="93">
        <f>IF(AN2832=0,L2832,0)</f>
        <v>0</v>
      </c>
      <c r="AK2832" s="93">
        <f>IF(AN2832=12,L2832,0)</f>
        <v>0</v>
      </c>
      <c r="AL2832" s="93">
        <f>IF(AN2832=21,L2832,0)</f>
        <v>0</v>
      </c>
      <c r="AN2832" s="93">
        <v>21</v>
      </c>
      <c r="AO2832" s="93">
        <f>H2832*0</f>
        <v>0</v>
      </c>
      <c r="AP2832" s="93">
        <f>H2832*(1-0)</f>
        <v>0</v>
      </c>
      <c r="AQ2832" s="94" t="s">
        <v>852</v>
      </c>
      <c r="AV2832" s="93">
        <f>AW2832+AX2832</f>
        <v>0</v>
      </c>
      <c r="AW2832" s="93">
        <f>G2832*AO2832</f>
        <v>0</v>
      </c>
      <c r="AX2832" s="93">
        <f>G2832*AP2832</f>
        <v>0</v>
      </c>
      <c r="AY2832" s="94" t="s">
        <v>4171</v>
      </c>
      <c r="AZ2832" s="94" t="s">
        <v>4162</v>
      </c>
      <c r="BA2832" s="88" t="s">
        <v>4080</v>
      </c>
      <c r="BC2832" s="93">
        <f>AW2832+AX2832</f>
        <v>0</v>
      </c>
      <c r="BD2832" s="93">
        <f>H2832/(100-BE2832)*100</f>
        <v>0</v>
      </c>
      <c r="BE2832" s="93">
        <v>0</v>
      </c>
      <c r="BF2832" s="93">
        <f>O2832</f>
        <v>0</v>
      </c>
      <c r="BH2832" s="93">
        <f>G2832*AO2832</f>
        <v>0</v>
      </c>
      <c r="BI2832" s="93">
        <f>G2832*AP2832</f>
        <v>0</v>
      </c>
      <c r="BJ2832" s="93">
        <f>G2832*H2832</f>
        <v>0</v>
      </c>
      <c r="BK2832" s="93"/>
      <c r="BL2832" s="93"/>
      <c r="BO2832" s="93">
        <f>G2832*H2832</f>
        <v>0</v>
      </c>
      <c r="BW2832" s="93" t="str">
        <f>I2832</f>
        <v>21</v>
      </c>
      <c r="BX2832" s="2" t="s">
        <v>4170</v>
      </c>
    </row>
    <row r="2833" spans="1:76" s="81" customFormat="1" ht="13.5" customHeight="1" x14ac:dyDescent="0.25">
      <c r="A2833" s="110"/>
      <c r="B2833" s="95"/>
      <c r="C2833" s="95"/>
      <c r="D2833" s="179" t="s">
        <v>4172</v>
      </c>
      <c r="E2833" s="179"/>
      <c r="F2833" s="179"/>
      <c r="G2833" s="179"/>
      <c r="H2833" s="179"/>
      <c r="I2833" s="179"/>
      <c r="J2833" s="179"/>
      <c r="K2833" s="179"/>
      <c r="L2833" s="179"/>
      <c r="M2833" s="179"/>
      <c r="N2833" s="179"/>
      <c r="O2833" s="179"/>
      <c r="P2833" s="179"/>
    </row>
    <row r="2834" spans="1:76" s="81" customFormat="1" ht="13.5" customHeight="1" x14ac:dyDescent="0.25">
      <c r="A2834" s="109" t="s">
        <v>54</v>
      </c>
      <c r="B2834" s="74" t="s">
        <v>4072</v>
      </c>
      <c r="C2834" s="74" t="s">
        <v>4173</v>
      </c>
      <c r="D2834" s="180" t="s">
        <v>4174</v>
      </c>
      <c r="E2834" s="180"/>
      <c r="F2834" s="85" t="s">
        <v>4</v>
      </c>
      <c r="G2834" s="85" t="s">
        <v>4</v>
      </c>
      <c r="H2834" s="85" t="s">
        <v>4</v>
      </c>
      <c r="I2834" s="85" t="s">
        <v>4</v>
      </c>
      <c r="J2834" s="86">
        <f>SUM(J2835:J2836)</f>
        <v>0</v>
      </c>
      <c r="K2834" s="86">
        <f>SUM(K2835:K2836)</f>
        <v>0</v>
      </c>
      <c r="L2834" s="86">
        <f>SUM(L2835:L2836)</f>
        <v>0</v>
      </c>
      <c r="M2834" s="86">
        <f>SUM(M2835:M2836)</f>
        <v>0</v>
      </c>
      <c r="N2834" s="87" t="s">
        <v>54</v>
      </c>
      <c r="O2834" s="86">
        <f>SUM(O2835:O2836)</f>
        <v>0</v>
      </c>
      <c r="P2834" s="87" t="s">
        <v>54</v>
      </c>
      <c r="AI2834" s="88" t="s">
        <v>4072</v>
      </c>
      <c r="AS2834" s="89">
        <f>SUM(AJ2835:AJ2836)</f>
        <v>0</v>
      </c>
      <c r="AT2834" s="89">
        <f>SUM(AK2835:AK2836)</f>
        <v>0</v>
      </c>
      <c r="AU2834" s="89">
        <f>SUM(AL2835:AL2836)</f>
        <v>0</v>
      </c>
    </row>
    <row r="2835" spans="1:76" s="81" customFormat="1" ht="13.5" customHeight="1" x14ac:dyDescent="0.25">
      <c r="A2835" s="66" t="s">
        <v>4298</v>
      </c>
      <c r="B2835" s="72" t="s">
        <v>4072</v>
      </c>
      <c r="C2835" s="72" t="s">
        <v>4176</v>
      </c>
      <c r="D2835" s="174" t="s">
        <v>4177</v>
      </c>
      <c r="E2835" s="174"/>
      <c r="F2835" s="72" t="s">
        <v>4160</v>
      </c>
      <c r="G2835" s="90">
        <v>1</v>
      </c>
      <c r="H2835" s="91"/>
      <c r="I2835" s="92" t="s">
        <v>63</v>
      </c>
      <c r="J2835" s="90">
        <f>G2835*AO2835</f>
        <v>0</v>
      </c>
      <c r="K2835" s="90">
        <f>G2835*AP2835</f>
        <v>0</v>
      </c>
      <c r="L2835" s="90">
        <f>G2835*H2835</f>
        <v>0</v>
      </c>
      <c r="M2835" s="90">
        <f>L2835*(1+BW2835/100)</f>
        <v>0</v>
      </c>
      <c r="N2835" s="90">
        <v>0</v>
      </c>
      <c r="O2835" s="90">
        <f>G2835*N2835</f>
        <v>0</v>
      </c>
      <c r="P2835" s="92" t="s">
        <v>64</v>
      </c>
      <c r="Z2835" s="93">
        <f>IF(AQ2835="5",BJ2835,0)</f>
        <v>0</v>
      </c>
      <c r="AB2835" s="93">
        <f>IF(AQ2835="1",BH2835,0)</f>
        <v>0</v>
      </c>
      <c r="AC2835" s="93">
        <f>IF(AQ2835="1",BI2835,0)</f>
        <v>0</v>
      </c>
      <c r="AD2835" s="93">
        <f>IF(AQ2835="7",BH2835,0)</f>
        <v>0</v>
      </c>
      <c r="AE2835" s="93">
        <f>IF(AQ2835="7",BI2835,0)</f>
        <v>0</v>
      </c>
      <c r="AF2835" s="93">
        <f>IF(AQ2835="2",BH2835,0)</f>
        <v>0</v>
      </c>
      <c r="AG2835" s="93">
        <f>IF(AQ2835="2",BI2835,0)</f>
        <v>0</v>
      </c>
      <c r="AH2835" s="93">
        <f>IF(AQ2835="0",BJ2835,0)</f>
        <v>0</v>
      </c>
      <c r="AI2835" s="88" t="s">
        <v>4072</v>
      </c>
      <c r="AJ2835" s="93">
        <f>IF(AN2835=0,L2835,0)</f>
        <v>0</v>
      </c>
      <c r="AK2835" s="93">
        <f>IF(AN2835=12,L2835,0)</f>
        <v>0</v>
      </c>
      <c r="AL2835" s="93">
        <f>IF(AN2835=21,L2835,0)</f>
        <v>0</v>
      </c>
      <c r="AN2835" s="93">
        <v>21</v>
      </c>
      <c r="AO2835" s="93">
        <f>H2835*0</f>
        <v>0</v>
      </c>
      <c r="AP2835" s="93">
        <f>H2835*(1-0)</f>
        <v>0</v>
      </c>
      <c r="AQ2835" s="94" t="s">
        <v>852</v>
      </c>
      <c r="AV2835" s="93">
        <f>AW2835+AX2835</f>
        <v>0</v>
      </c>
      <c r="AW2835" s="93">
        <f>G2835*AO2835</f>
        <v>0</v>
      </c>
      <c r="AX2835" s="93">
        <f>G2835*AP2835</f>
        <v>0</v>
      </c>
      <c r="AY2835" s="94" t="s">
        <v>4178</v>
      </c>
      <c r="AZ2835" s="94" t="s">
        <v>4162</v>
      </c>
      <c r="BA2835" s="88" t="s">
        <v>4080</v>
      </c>
      <c r="BC2835" s="93">
        <f>AW2835+AX2835</f>
        <v>0</v>
      </c>
      <c r="BD2835" s="93">
        <f>H2835/(100-BE2835)*100</f>
        <v>0</v>
      </c>
      <c r="BE2835" s="93">
        <v>0</v>
      </c>
      <c r="BF2835" s="93">
        <f>O2835</f>
        <v>0</v>
      </c>
      <c r="BH2835" s="93">
        <f>G2835*AO2835</f>
        <v>0</v>
      </c>
      <c r="BI2835" s="93">
        <f>G2835*AP2835</f>
        <v>0</v>
      </c>
      <c r="BJ2835" s="93">
        <f>G2835*H2835</f>
        <v>0</v>
      </c>
      <c r="BK2835" s="93"/>
      <c r="BL2835" s="93"/>
      <c r="BP2835" s="93">
        <f>G2835*H2835</f>
        <v>0</v>
      </c>
      <c r="BW2835" s="93" t="str">
        <f>I2835</f>
        <v>21</v>
      </c>
      <c r="BX2835" s="2" t="s">
        <v>4177</v>
      </c>
    </row>
    <row r="2836" spans="1:76" s="81" customFormat="1" ht="13.5" customHeight="1" x14ac:dyDescent="0.25">
      <c r="A2836" s="66" t="s">
        <v>4299</v>
      </c>
      <c r="B2836" s="72" t="s">
        <v>4072</v>
      </c>
      <c r="C2836" s="72" t="s">
        <v>4180</v>
      </c>
      <c r="D2836" s="174" t="s">
        <v>4181</v>
      </c>
      <c r="E2836" s="174"/>
      <c r="F2836" s="72" t="s">
        <v>4160</v>
      </c>
      <c r="G2836" s="90">
        <v>1</v>
      </c>
      <c r="H2836" s="91"/>
      <c r="I2836" s="92" t="s">
        <v>63</v>
      </c>
      <c r="J2836" s="90">
        <f>G2836*AO2836</f>
        <v>0</v>
      </c>
      <c r="K2836" s="90">
        <f>G2836*AP2836</f>
        <v>0</v>
      </c>
      <c r="L2836" s="90">
        <f>G2836*H2836</f>
        <v>0</v>
      </c>
      <c r="M2836" s="90">
        <f>L2836*(1+BW2836/100)</f>
        <v>0</v>
      </c>
      <c r="N2836" s="90">
        <v>0</v>
      </c>
      <c r="O2836" s="90">
        <f>G2836*N2836</f>
        <v>0</v>
      </c>
      <c r="P2836" s="92" t="s">
        <v>64</v>
      </c>
      <c r="Z2836" s="93">
        <f>IF(AQ2836="5",BJ2836,0)</f>
        <v>0</v>
      </c>
      <c r="AB2836" s="93">
        <f>IF(AQ2836="1",BH2836,0)</f>
        <v>0</v>
      </c>
      <c r="AC2836" s="93">
        <f>IF(AQ2836="1",BI2836,0)</f>
        <v>0</v>
      </c>
      <c r="AD2836" s="93">
        <f>IF(AQ2836="7",BH2836,0)</f>
        <v>0</v>
      </c>
      <c r="AE2836" s="93">
        <f>IF(AQ2836="7",BI2836,0)</f>
        <v>0</v>
      </c>
      <c r="AF2836" s="93">
        <f>IF(AQ2836="2",BH2836,0)</f>
        <v>0</v>
      </c>
      <c r="AG2836" s="93">
        <f>IF(AQ2836="2",BI2836,0)</f>
        <v>0</v>
      </c>
      <c r="AH2836" s="93">
        <f>IF(AQ2836="0",BJ2836,0)</f>
        <v>0</v>
      </c>
      <c r="AI2836" s="88" t="s">
        <v>4072</v>
      </c>
      <c r="AJ2836" s="93">
        <f>IF(AN2836=0,L2836,0)</f>
        <v>0</v>
      </c>
      <c r="AK2836" s="93">
        <f>IF(AN2836=12,L2836,0)</f>
        <v>0</v>
      </c>
      <c r="AL2836" s="93">
        <f>IF(AN2836=21,L2836,0)</f>
        <v>0</v>
      </c>
      <c r="AN2836" s="93">
        <v>21</v>
      </c>
      <c r="AO2836" s="93">
        <f>H2836*0</f>
        <v>0</v>
      </c>
      <c r="AP2836" s="93">
        <f>H2836*(1-0)</f>
        <v>0</v>
      </c>
      <c r="AQ2836" s="94" t="s">
        <v>852</v>
      </c>
      <c r="AV2836" s="93">
        <f>AW2836+AX2836</f>
        <v>0</v>
      </c>
      <c r="AW2836" s="93">
        <f>G2836*AO2836</f>
        <v>0</v>
      </c>
      <c r="AX2836" s="93">
        <f>G2836*AP2836</f>
        <v>0</v>
      </c>
      <c r="AY2836" s="94" t="s">
        <v>4178</v>
      </c>
      <c r="AZ2836" s="94" t="s">
        <v>4162</v>
      </c>
      <c r="BA2836" s="88" t="s">
        <v>4080</v>
      </c>
      <c r="BC2836" s="93">
        <f>AW2836+AX2836</f>
        <v>0</v>
      </c>
      <c r="BD2836" s="93">
        <f>H2836/(100-BE2836)*100</f>
        <v>0</v>
      </c>
      <c r="BE2836" s="93">
        <v>0</v>
      </c>
      <c r="BF2836" s="93">
        <f>O2836</f>
        <v>0</v>
      </c>
      <c r="BH2836" s="93">
        <f>G2836*AO2836</f>
        <v>0</v>
      </c>
      <c r="BI2836" s="93">
        <f>G2836*AP2836</f>
        <v>0</v>
      </c>
      <c r="BJ2836" s="93">
        <f>G2836*H2836</f>
        <v>0</v>
      </c>
      <c r="BK2836" s="93"/>
      <c r="BL2836" s="93"/>
      <c r="BP2836" s="93">
        <f>G2836*H2836</f>
        <v>0</v>
      </c>
      <c r="BW2836" s="93" t="str">
        <f>I2836</f>
        <v>21</v>
      </c>
      <c r="BX2836" s="2" t="s">
        <v>4181</v>
      </c>
    </row>
    <row r="2837" spans="1:76" s="81" customFormat="1" ht="13.5" customHeight="1" x14ac:dyDescent="0.25">
      <c r="A2837" s="109" t="s">
        <v>54</v>
      </c>
      <c r="B2837" s="74" t="s">
        <v>4072</v>
      </c>
      <c r="C2837" s="74" t="s">
        <v>4182</v>
      </c>
      <c r="D2837" s="180" t="s">
        <v>4183</v>
      </c>
      <c r="E2837" s="180"/>
      <c r="F2837" s="85" t="s">
        <v>4</v>
      </c>
      <c r="G2837" s="85" t="s">
        <v>4</v>
      </c>
      <c r="H2837" s="98" t="s">
        <v>4</v>
      </c>
      <c r="I2837" s="85" t="s">
        <v>4</v>
      </c>
      <c r="J2837" s="86">
        <f>SUM(J2838:J2838)</f>
        <v>0</v>
      </c>
      <c r="K2837" s="86">
        <f>SUM(K2838:K2838)</f>
        <v>0</v>
      </c>
      <c r="L2837" s="86">
        <f>SUM(L2838:L2838)</f>
        <v>0</v>
      </c>
      <c r="M2837" s="86">
        <f>SUM(M2838:M2838)</f>
        <v>0</v>
      </c>
      <c r="N2837" s="87" t="s">
        <v>54</v>
      </c>
      <c r="O2837" s="86">
        <f>SUM(O2838:O2838)</f>
        <v>0</v>
      </c>
      <c r="P2837" s="87" t="s">
        <v>54</v>
      </c>
      <c r="AI2837" s="88" t="s">
        <v>4072</v>
      </c>
      <c r="AS2837" s="89">
        <f>SUM(AJ2838:AJ2838)</f>
        <v>0</v>
      </c>
      <c r="AT2837" s="89">
        <f>SUM(AK2838:AK2838)</f>
        <v>0</v>
      </c>
      <c r="AU2837" s="89">
        <f>SUM(AL2838:AL2838)</f>
        <v>0</v>
      </c>
    </row>
    <row r="2838" spans="1:76" s="81" customFormat="1" ht="13.5" customHeight="1" x14ac:dyDescent="0.25">
      <c r="A2838" s="66" t="s">
        <v>4300</v>
      </c>
      <c r="B2838" s="72" t="s">
        <v>4072</v>
      </c>
      <c r="C2838" s="72" t="s">
        <v>4185</v>
      </c>
      <c r="D2838" s="174" t="s">
        <v>4186</v>
      </c>
      <c r="E2838" s="174"/>
      <c r="F2838" s="72" t="s">
        <v>4160</v>
      </c>
      <c r="G2838" s="90">
        <v>1</v>
      </c>
      <c r="H2838" s="91"/>
      <c r="I2838" s="92" t="s">
        <v>63</v>
      </c>
      <c r="J2838" s="90">
        <f>G2838*AO2838</f>
        <v>0</v>
      </c>
      <c r="K2838" s="90">
        <f>G2838*AP2838</f>
        <v>0</v>
      </c>
      <c r="L2838" s="90">
        <f>G2838*H2838</f>
        <v>0</v>
      </c>
      <c r="M2838" s="90">
        <f>L2838*(1+BW2838/100)</f>
        <v>0</v>
      </c>
      <c r="N2838" s="90">
        <v>0</v>
      </c>
      <c r="O2838" s="90">
        <f>G2838*N2838</f>
        <v>0</v>
      </c>
      <c r="P2838" s="92" t="s">
        <v>64</v>
      </c>
      <c r="Z2838" s="93">
        <f>IF(AQ2838="5",BJ2838,0)</f>
        <v>0</v>
      </c>
      <c r="AB2838" s="93">
        <f>IF(AQ2838="1",BH2838,0)</f>
        <v>0</v>
      </c>
      <c r="AC2838" s="93">
        <f>IF(AQ2838="1",BI2838,0)</f>
        <v>0</v>
      </c>
      <c r="AD2838" s="93">
        <f>IF(AQ2838="7",BH2838,0)</f>
        <v>0</v>
      </c>
      <c r="AE2838" s="93">
        <f>IF(AQ2838="7",BI2838,0)</f>
        <v>0</v>
      </c>
      <c r="AF2838" s="93">
        <f>IF(AQ2838="2",BH2838,0)</f>
        <v>0</v>
      </c>
      <c r="AG2838" s="93">
        <f>IF(AQ2838="2",BI2838,0)</f>
        <v>0</v>
      </c>
      <c r="AH2838" s="93">
        <f>IF(AQ2838="0",BJ2838,0)</f>
        <v>0</v>
      </c>
      <c r="AI2838" s="88" t="s">
        <v>4072</v>
      </c>
      <c r="AJ2838" s="93">
        <f>IF(AN2838=0,L2838,0)</f>
        <v>0</v>
      </c>
      <c r="AK2838" s="93">
        <f>IF(AN2838=12,L2838,0)</f>
        <v>0</v>
      </c>
      <c r="AL2838" s="93">
        <f>IF(AN2838=21,L2838,0)</f>
        <v>0</v>
      </c>
      <c r="AN2838" s="93">
        <v>21</v>
      </c>
      <c r="AO2838" s="93">
        <f>H2838*0</f>
        <v>0</v>
      </c>
      <c r="AP2838" s="93">
        <f>H2838*(1-0)</f>
        <v>0</v>
      </c>
      <c r="AQ2838" s="94" t="s">
        <v>852</v>
      </c>
      <c r="AV2838" s="93">
        <f>AW2838+AX2838</f>
        <v>0</v>
      </c>
      <c r="AW2838" s="93">
        <f>G2838*AO2838</f>
        <v>0</v>
      </c>
      <c r="AX2838" s="93">
        <f>G2838*AP2838</f>
        <v>0</v>
      </c>
      <c r="AY2838" s="94" t="s">
        <v>4187</v>
      </c>
      <c r="AZ2838" s="94" t="s">
        <v>4162</v>
      </c>
      <c r="BA2838" s="88" t="s">
        <v>4080</v>
      </c>
      <c r="BC2838" s="93">
        <f>AW2838+AX2838</f>
        <v>0</v>
      </c>
      <c r="BD2838" s="93">
        <f>H2838/(100-BE2838)*100</f>
        <v>0</v>
      </c>
      <c r="BE2838" s="93">
        <v>0</v>
      </c>
      <c r="BF2838" s="93">
        <f>O2838</f>
        <v>0</v>
      </c>
      <c r="BH2838" s="93">
        <f>G2838*AO2838</f>
        <v>0</v>
      </c>
      <c r="BI2838" s="93">
        <f>G2838*AP2838</f>
        <v>0</v>
      </c>
      <c r="BJ2838" s="93">
        <f>G2838*H2838</f>
        <v>0</v>
      </c>
      <c r="BK2838" s="93"/>
      <c r="BL2838" s="93"/>
      <c r="BQ2838" s="93">
        <f>G2838*H2838</f>
        <v>0</v>
      </c>
      <c r="BW2838" s="93" t="str">
        <f>I2838</f>
        <v>21</v>
      </c>
      <c r="BX2838" s="2" t="s">
        <v>4186</v>
      </c>
    </row>
    <row r="2839" spans="1:76" s="81" customFormat="1" ht="13.5" customHeight="1" x14ac:dyDescent="0.25">
      <c r="A2839" s="109" t="s">
        <v>54</v>
      </c>
      <c r="B2839" s="74" t="s">
        <v>4072</v>
      </c>
      <c r="C2839" s="74" t="s">
        <v>4188</v>
      </c>
      <c r="D2839" s="180" t="s">
        <v>4189</v>
      </c>
      <c r="E2839" s="180"/>
      <c r="F2839" s="85" t="s">
        <v>4</v>
      </c>
      <c r="G2839" s="85" t="s">
        <v>4</v>
      </c>
      <c r="H2839" s="98" t="s">
        <v>4</v>
      </c>
      <c r="I2839" s="85" t="s">
        <v>4</v>
      </c>
      <c r="J2839" s="86">
        <f>SUM(J2840:J2841)</f>
        <v>0</v>
      </c>
      <c r="K2839" s="86">
        <f>SUM(K2840:K2841)</f>
        <v>0</v>
      </c>
      <c r="L2839" s="86">
        <f>SUM(L2840:L2841)</f>
        <v>0</v>
      </c>
      <c r="M2839" s="86">
        <f>SUM(M2840:M2841)</f>
        <v>0</v>
      </c>
      <c r="N2839" s="87" t="s">
        <v>54</v>
      </c>
      <c r="O2839" s="86">
        <f>SUM(O2840:O2841)</f>
        <v>0</v>
      </c>
      <c r="P2839" s="87" t="s">
        <v>54</v>
      </c>
      <c r="AI2839" s="88" t="s">
        <v>4072</v>
      </c>
      <c r="AS2839" s="89">
        <f>SUM(AJ2840:AJ2841)</f>
        <v>0</v>
      </c>
      <c r="AT2839" s="89">
        <f>SUM(AK2840:AK2841)</f>
        <v>0</v>
      </c>
      <c r="AU2839" s="89">
        <f>SUM(AL2840:AL2841)</f>
        <v>0</v>
      </c>
    </row>
    <row r="2840" spans="1:76" s="81" customFormat="1" ht="13.5" customHeight="1" x14ac:dyDescent="0.25">
      <c r="A2840" s="66" t="s">
        <v>4301</v>
      </c>
      <c r="B2840" s="72" t="s">
        <v>4072</v>
      </c>
      <c r="C2840" s="72" t="s">
        <v>4191</v>
      </c>
      <c r="D2840" s="174" t="s">
        <v>4189</v>
      </c>
      <c r="E2840" s="174"/>
      <c r="F2840" s="72" t="s">
        <v>4160</v>
      </c>
      <c r="G2840" s="90">
        <v>1</v>
      </c>
      <c r="H2840" s="91"/>
      <c r="I2840" s="92" t="s">
        <v>63</v>
      </c>
      <c r="J2840" s="90">
        <f>G2840*AO2840</f>
        <v>0</v>
      </c>
      <c r="K2840" s="90">
        <f>G2840*AP2840</f>
        <v>0</v>
      </c>
      <c r="L2840" s="90">
        <f>G2840*H2840</f>
        <v>0</v>
      </c>
      <c r="M2840" s="90">
        <f>L2840*(1+BW2840/100)</f>
        <v>0</v>
      </c>
      <c r="N2840" s="90">
        <v>0</v>
      </c>
      <c r="O2840" s="90">
        <f>G2840*N2840</f>
        <v>0</v>
      </c>
      <c r="P2840" s="92" t="s">
        <v>64</v>
      </c>
      <c r="Z2840" s="93">
        <f>IF(AQ2840="5",BJ2840,0)</f>
        <v>0</v>
      </c>
      <c r="AB2840" s="93">
        <f>IF(AQ2840="1",BH2840,0)</f>
        <v>0</v>
      </c>
      <c r="AC2840" s="93">
        <f>IF(AQ2840="1",BI2840,0)</f>
        <v>0</v>
      </c>
      <c r="AD2840" s="93">
        <f>IF(AQ2840="7",BH2840,0)</f>
        <v>0</v>
      </c>
      <c r="AE2840" s="93">
        <f>IF(AQ2840="7",BI2840,0)</f>
        <v>0</v>
      </c>
      <c r="AF2840" s="93">
        <f>IF(AQ2840="2",BH2840,0)</f>
        <v>0</v>
      </c>
      <c r="AG2840" s="93">
        <f>IF(AQ2840="2",BI2840,0)</f>
        <v>0</v>
      </c>
      <c r="AH2840" s="93">
        <f>IF(AQ2840="0",BJ2840,0)</f>
        <v>0</v>
      </c>
      <c r="AI2840" s="88" t="s">
        <v>4072</v>
      </c>
      <c r="AJ2840" s="93">
        <f>IF(AN2840=0,L2840,0)</f>
        <v>0</v>
      </c>
      <c r="AK2840" s="93">
        <f>IF(AN2840=12,L2840,0)</f>
        <v>0</v>
      </c>
      <c r="AL2840" s="93">
        <f>IF(AN2840=21,L2840,0)</f>
        <v>0</v>
      </c>
      <c r="AN2840" s="93">
        <v>21</v>
      </c>
      <c r="AO2840" s="93">
        <f>H2840*0</f>
        <v>0</v>
      </c>
      <c r="AP2840" s="93">
        <f>H2840*(1-0)</f>
        <v>0</v>
      </c>
      <c r="AQ2840" s="94" t="s">
        <v>852</v>
      </c>
      <c r="AV2840" s="93">
        <f>AW2840+AX2840</f>
        <v>0</v>
      </c>
      <c r="AW2840" s="93">
        <f>G2840*AO2840</f>
        <v>0</v>
      </c>
      <c r="AX2840" s="93">
        <f>G2840*AP2840</f>
        <v>0</v>
      </c>
      <c r="AY2840" s="94" t="s">
        <v>4192</v>
      </c>
      <c r="AZ2840" s="94" t="s">
        <v>4162</v>
      </c>
      <c r="BA2840" s="88" t="s">
        <v>4080</v>
      </c>
      <c r="BC2840" s="93">
        <f>AW2840+AX2840</f>
        <v>0</v>
      </c>
      <c r="BD2840" s="93">
        <f>H2840/(100-BE2840)*100</f>
        <v>0</v>
      </c>
      <c r="BE2840" s="93">
        <v>0</v>
      </c>
      <c r="BF2840" s="93">
        <f>O2840</f>
        <v>0</v>
      </c>
      <c r="BH2840" s="93">
        <f>G2840*AO2840</f>
        <v>0</v>
      </c>
      <c r="BI2840" s="93">
        <f>G2840*AP2840</f>
        <v>0</v>
      </c>
      <c r="BJ2840" s="93">
        <f>G2840*H2840</f>
        <v>0</v>
      </c>
      <c r="BK2840" s="93"/>
      <c r="BL2840" s="93"/>
      <c r="BR2840" s="93">
        <f>G2840*H2840</f>
        <v>0</v>
      </c>
      <c r="BW2840" s="93" t="str">
        <f>I2840</f>
        <v>21</v>
      </c>
      <c r="BX2840" s="2" t="s">
        <v>4189</v>
      </c>
    </row>
    <row r="2841" spans="1:76" s="81" customFormat="1" ht="13.5" customHeight="1" x14ac:dyDescent="0.25">
      <c r="A2841" s="66" t="s">
        <v>4330</v>
      </c>
      <c r="B2841" s="72" t="s">
        <v>4072</v>
      </c>
      <c r="C2841" s="72" t="s">
        <v>4194</v>
      </c>
      <c r="D2841" s="174" t="s">
        <v>4195</v>
      </c>
      <c r="E2841" s="174"/>
      <c r="F2841" s="72" t="s">
        <v>4160</v>
      </c>
      <c r="G2841" s="90">
        <v>1</v>
      </c>
      <c r="H2841" s="91"/>
      <c r="I2841" s="92" t="s">
        <v>63</v>
      </c>
      <c r="J2841" s="90">
        <f>G2841*AO2841</f>
        <v>0</v>
      </c>
      <c r="K2841" s="90">
        <f>G2841*AP2841</f>
        <v>0</v>
      </c>
      <c r="L2841" s="90">
        <f>G2841*H2841</f>
        <v>0</v>
      </c>
      <c r="M2841" s="90">
        <f>L2841*(1+BW2841/100)</f>
        <v>0</v>
      </c>
      <c r="N2841" s="90">
        <v>0</v>
      </c>
      <c r="O2841" s="90">
        <f>G2841*N2841</f>
        <v>0</v>
      </c>
      <c r="P2841" s="92" t="s">
        <v>64</v>
      </c>
      <c r="Z2841" s="93">
        <f>IF(AQ2841="5",BJ2841,0)</f>
        <v>0</v>
      </c>
      <c r="AB2841" s="93">
        <f>IF(AQ2841="1",BH2841,0)</f>
        <v>0</v>
      </c>
      <c r="AC2841" s="93">
        <f>IF(AQ2841="1",BI2841,0)</f>
        <v>0</v>
      </c>
      <c r="AD2841" s="93">
        <f>IF(AQ2841="7",BH2841,0)</f>
        <v>0</v>
      </c>
      <c r="AE2841" s="93">
        <f>IF(AQ2841="7",BI2841,0)</f>
        <v>0</v>
      </c>
      <c r="AF2841" s="93">
        <f>IF(AQ2841="2",BH2841,0)</f>
        <v>0</v>
      </c>
      <c r="AG2841" s="93">
        <f>IF(AQ2841="2",BI2841,0)</f>
        <v>0</v>
      </c>
      <c r="AH2841" s="93">
        <f>IF(AQ2841="0",BJ2841,0)</f>
        <v>0</v>
      </c>
      <c r="AI2841" s="88" t="s">
        <v>4072</v>
      </c>
      <c r="AJ2841" s="93">
        <f>IF(AN2841=0,L2841,0)</f>
        <v>0</v>
      </c>
      <c r="AK2841" s="93">
        <f>IF(AN2841=12,L2841,0)</f>
        <v>0</v>
      </c>
      <c r="AL2841" s="93">
        <f>IF(AN2841=21,L2841,0)</f>
        <v>0</v>
      </c>
      <c r="AN2841" s="93">
        <v>21</v>
      </c>
      <c r="AO2841" s="93">
        <f>H2841*0</f>
        <v>0</v>
      </c>
      <c r="AP2841" s="93">
        <f>H2841*(1-0)</f>
        <v>0</v>
      </c>
      <c r="AQ2841" s="94" t="s">
        <v>852</v>
      </c>
      <c r="AV2841" s="93">
        <f>AW2841+AX2841</f>
        <v>0</v>
      </c>
      <c r="AW2841" s="93">
        <f>G2841*AO2841</f>
        <v>0</v>
      </c>
      <c r="AX2841" s="93">
        <f>G2841*AP2841</f>
        <v>0</v>
      </c>
      <c r="AY2841" s="94" t="s">
        <v>4192</v>
      </c>
      <c r="AZ2841" s="94" t="s">
        <v>4162</v>
      </c>
      <c r="BA2841" s="88" t="s">
        <v>4080</v>
      </c>
      <c r="BC2841" s="93">
        <f>AW2841+AX2841</f>
        <v>0</v>
      </c>
      <c r="BD2841" s="93">
        <f>H2841/(100-BE2841)*100</f>
        <v>0</v>
      </c>
      <c r="BE2841" s="93">
        <v>0</v>
      </c>
      <c r="BF2841" s="93">
        <f>O2841</f>
        <v>0</v>
      </c>
      <c r="BH2841" s="93">
        <f>G2841*AO2841</f>
        <v>0</v>
      </c>
      <c r="BI2841" s="93">
        <f>G2841*AP2841</f>
        <v>0</v>
      </c>
      <c r="BJ2841" s="93">
        <f>G2841*H2841</f>
        <v>0</v>
      </c>
      <c r="BK2841" s="93"/>
      <c r="BL2841" s="93"/>
      <c r="BR2841" s="93">
        <f>G2841*H2841</f>
        <v>0</v>
      </c>
      <c r="BW2841" s="93" t="str">
        <f>I2841</f>
        <v>21</v>
      </c>
      <c r="BX2841" s="2" t="s">
        <v>4195</v>
      </c>
    </row>
    <row r="2842" spans="1:76" s="81" customFormat="1" ht="13.5" customHeight="1" x14ac:dyDescent="0.25">
      <c r="A2842" s="109" t="s">
        <v>54</v>
      </c>
      <c r="B2842" s="74" t="s">
        <v>4072</v>
      </c>
      <c r="C2842" s="74" t="s">
        <v>4196</v>
      </c>
      <c r="D2842" s="180" t="s">
        <v>4197</v>
      </c>
      <c r="E2842" s="180"/>
      <c r="F2842" s="85" t="s">
        <v>4</v>
      </c>
      <c r="G2842" s="85" t="s">
        <v>4</v>
      </c>
      <c r="H2842" s="98"/>
      <c r="I2842" s="85" t="s">
        <v>4</v>
      </c>
      <c r="J2842" s="86">
        <f>SUM(J2843:J2843)</f>
        <v>0</v>
      </c>
      <c r="K2842" s="86">
        <f>SUM(K2843:K2843)</f>
        <v>0</v>
      </c>
      <c r="L2842" s="86">
        <f>SUM(L2843:L2843)</f>
        <v>0</v>
      </c>
      <c r="M2842" s="86">
        <f>SUM(M2843:M2843)</f>
        <v>0</v>
      </c>
      <c r="N2842" s="87" t="s">
        <v>54</v>
      </c>
      <c r="O2842" s="86">
        <f>SUM(O2843:O2843)</f>
        <v>0</v>
      </c>
      <c r="P2842" s="87" t="s">
        <v>54</v>
      </c>
      <c r="AI2842" s="88" t="s">
        <v>4072</v>
      </c>
      <c r="AS2842" s="89">
        <f>SUM(AJ2843:AJ2843)</f>
        <v>0</v>
      </c>
      <c r="AT2842" s="89">
        <f>SUM(AK2843:AK2843)</f>
        <v>0</v>
      </c>
      <c r="AU2842" s="89">
        <f>SUM(AL2843:AL2843)</f>
        <v>0</v>
      </c>
    </row>
    <row r="2843" spans="1:76" s="81" customFormat="1" ht="13.5" customHeight="1" x14ac:dyDescent="0.25">
      <c r="A2843" s="66" t="s">
        <v>4331</v>
      </c>
      <c r="B2843" s="72" t="s">
        <v>4072</v>
      </c>
      <c r="C2843" s="72" t="s">
        <v>4199</v>
      </c>
      <c r="D2843" s="174" t="s">
        <v>4197</v>
      </c>
      <c r="E2843" s="174"/>
      <c r="F2843" s="72" t="s">
        <v>4160</v>
      </c>
      <c r="G2843" s="90">
        <v>1</v>
      </c>
      <c r="H2843" s="91"/>
      <c r="I2843" s="92" t="s">
        <v>63</v>
      </c>
      <c r="J2843" s="90">
        <f>G2843*AO2843</f>
        <v>0</v>
      </c>
      <c r="K2843" s="90">
        <f>G2843*AP2843</f>
        <v>0</v>
      </c>
      <c r="L2843" s="90">
        <f>G2843*H2843</f>
        <v>0</v>
      </c>
      <c r="M2843" s="90">
        <f>L2843*(1+BW2843/100)</f>
        <v>0</v>
      </c>
      <c r="N2843" s="90">
        <v>0</v>
      </c>
      <c r="O2843" s="90">
        <f>G2843*N2843</f>
        <v>0</v>
      </c>
      <c r="P2843" s="92" t="s">
        <v>64</v>
      </c>
      <c r="Z2843" s="93">
        <f>IF(AQ2843="5",BJ2843,0)</f>
        <v>0</v>
      </c>
      <c r="AB2843" s="93">
        <f>IF(AQ2843="1",BH2843,0)</f>
        <v>0</v>
      </c>
      <c r="AC2843" s="93">
        <f>IF(AQ2843="1",BI2843,0)</f>
        <v>0</v>
      </c>
      <c r="AD2843" s="93">
        <f>IF(AQ2843="7",BH2843,0)</f>
        <v>0</v>
      </c>
      <c r="AE2843" s="93">
        <f>IF(AQ2843="7",BI2843,0)</f>
        <v>0</v>
      </c>
      <c r="AF2843" s="93">
        <f>IF(AQ2843="2",BH2843,0)</f>
        <v>0</v>
      </c>
      <c r="AG2843" s="93">
        <f>IF(AQ2843="2",BI2843,0)</f>
        <v>0</v>
      </c>
      <c r="AH2843" s="93">
        <f>IF(AQ2843="0",BJ2843,0)</f>
        <v>0</v>
      </c>
      <c r="AI2843" s="88" t="s">
        <v>4072</v>
      </c>
      <c r="AJ2843" s="93">
        <f>IF(AN2843=0,L2843,0)</f>
        <v>0</v>
      </c>
      <c r="AK2843" s="93">
        <f>IF(AN2843=12,L2843,0)</f>
        <v>0</v>
      </c>
      <c r="AL2843" s="93">
        <f>IF(AN2843=21,L2843,0)</f>
        <v>0</v>
      </c>
      <c r="AN2843" s="93">
        <v>21</v>
      </c>
      <c r="AO2843" s="93">
        <f>H2843*0</f>
        <v>0</v>
      </c>
      <c r="AP2843" s="93">
        <f>H2843*(1-0)</f>
        <v>0</v>
      </c>
      <c r="AQ2843" s="94" t="s">
        <v>852</v>
      </c>
      <c r="AV2843" s="93">
        <f>AW2843+AX2843</f>
        <v>0</v>
      </c>
      <c r="AW2843" s="93">
        <f>G2843*AO2843</f>
        <v>0</v>
      </c>
      <c r="AX2843" s="93">
        <f>G2843*AP2843</f>
        <v>0</v>
      </c>
      <c r="AY2843" s="94" t="s">
        <v>4200</v>
      </c>
      <c r="AZ2843" s="94" t="s">
        <v>4162</v>
      </c>
      <c r="BA2843" s="88" t="s">
        <v>4080</v>
      </c>
      <c r="BC2843" s="93">
        <f>AW2843+AX2843</f>
        <v>0</v>
      </c>
      <c r="BD2843" s="93">
        <f>H2843/(100-BE2843)*100</f>
        <v>0</v>
      </c>
      <c r="BE2843" s="93">
        <v>0</v>
      </c>
      <c r="BF2843" s="93">
        <f>O2843</f>
        <v>0</v>
      </c>
      <c r="BH2843" s="93">
        <f>G2843*AO2843</f>
        <v>0</v>
      </c>
      <c r="BI2843" s="93">
        <f>G2843*AP2843</f>
        <v>0</v>
      </c>
      <c r="BJ2843" s="93">
        <f>G2843*H2843</f>
        <v>0</v>
      </c>
      <c r="BK2843" s="93"/>
      <c r="BL2843" s="93"/>
      <c r="BS2843" s="93">
        <f>G2843*H2843</f>
        <v>0</v>
      </c>
      <c r="BW2843" s="93" t="str">
        <f>I2843</f>
        <v>21</v>
      </c>
      <c r="BX2843" s="2" t="s">
        <v>4197</v>
      </c>
    </row>
    <row r="2844" spans="1:76" s="81" customFormat="1" ht="13.5" customHeight="1" x14ac:dyDescent="0.25">
      <c r="A2844" s="109" t="s">
        <v>54</v>
      </c>
      <c r="B2844" s="74" t="s">
        <v>4072</v>
      </c>
      <c r="C2844" s="74" t="s">
        <v>4201</v>
      </c>
      <c r="D2844" s="180" t="s">
        <v>4202</v>
      </c>
      <c r="E2844" s="180"/>
      <c r="F2844" s="85" t="s">
        <v>4</v>
      </c>
      <c r="G2844" s="85" t="s">
        <v>4</v>
      </c>
      <c r="H2844" s="98"/>
      <c r="I2844" s="85" t="s">
        <v>4</v>
      </c>
      <c r="J2844" s="86">
        <f>SUM(J2845:J2845)</f>
        <v>0</v>
      </c>
      <c r="K2844" s="86">
        <f>SUM(K2845:K2845)</f>
        <v>0</v>
      </c>
      <c r="L2844" s="86">
        <f>SUM(L2845:L2845)</f>
        <v>0</v>
      </c>
      <c r="M2844" s="86">
        <f>SUM(M2845:M2845)</f>
        <v>0</v>
      </c>
      <c r="N2844" s="87" t="s">
        <v>54</v>
      </c>
      <c r="O2844" s="86">
        <f>SUM(O2845:O2845)</f>
        <v>0</v>
      </c>
      <c r="P2844" s="87" t="s">
        <v>54</v>
      </c>
      <c r="AI2844" s="88" t="s">
        <v>4072</v>
      </c>
      <c r="AS2844" s="89">
        <f>SUM(AJ2845:AJ2845)</f>
        <v>0</v>
      </c>
      <c r="AT2844" s="89">
        <f>SUM(AK2845:AK2845)</f>
        <v>0</v>
      </c>
      <c r="AU2844" s="89">
        <f>SUM(AL2845:AL2845)</f>
        <v>0</v>
      </c>
    </row>
    <row r="2845" spans="1:76" s="81" customFormat="1" ht="13.5" customHeight="1" x14ac:dyDescent="0.25">
      <c r="A2845" s="66" t="s">
        <v>4342</v>
      </c>
      <c r="B2845" s="72" t="s">
        <v>4072</v>
      </c>
      <c r="C2845" s="72" t="s">
        <v>4204</v>
      </c>
      <c r="D2845" s="174" t="s">
        <v>4205</v>
      </c>
      <c r="E2845" s="174"/>
      <c r="F2845" s="72" t="s">
        <v>4160</v>
      </c>
      <c r="G2845" s="90">
        <v>1</v>
      </c>
      <c r="H2845" s="91"/>
      <c r="I2845" s="92" t="s">
        <v>63</v>
      </c>
      <c r="J2845" s="90">
        <f>G2845*AO2845</f>
        <v>0</v>
      </c>
      <c r="K2845" s="90">
        <f>G2845*AP2845</f>
        <v>0</v>
      </c>
      <c r="L2845" s="90">
        <f>G2845*H2845</f>
        <v>0</v>
      </c>
      <c r="M2845" s="90">
        <f>L2845*(1+BW2845/100)</f>
        <v>0</v>
      </c>
      <c r="N2845" s="90">
        <v>0</v>
      </c>
      <c r="O2845" s="90">
        <f>G2845*N2845</f>
        <v>0</v>
      </c>
      <c r="P2845" s="92" t="s">
        <v>64</v>
      </c>
      <c r="Z2845" s="93">
        <f>IF(AQ2845="5",BJ2845,0)</f>
        <v>0</v>
      </c>
      <c r="AB2845" s="93">
        <f>IF(AQ2845="1",BH2845,0)</f>
        <v>0</v>
      </c>
      <c r="AC2845" s="93">
        <f>IF(AQ2845="1",BI2845,0)</f>
        <v>0</v>
      </c>
      <c r="AD2845" s="93">
        <f>IF(AQ2845="7",BH2845,0)</f>
        <v>0</v>
      </c>
      <c r="AE2845" s="93">
        <f>IF(AQ2845="7",BI2845,0)</f>
        <v>0</v>
      </c>
      <c r="AF2845" s="93">
        <f>IF(AQ2845="2",BH2845,0)</f>
        <v>0</v>
      </c>
      <c r="AG2845" s="93">
        <f>IF(AQ2845="2",BI2845,0)</f>
        <v>0</v>
      </c>
      <c r="AH2845" s="93">
        <f>IF(AQ2845="0",BJ2845,0)</f>
        <v>0</v>
      </c>
      <c r="AI2845" s="88" t="s">
        <v>4072</v>
      </c>
      <c r="AJ2845" s="93">
        <f>IF(AN2845=0,L2845,0)</f>
        <v>0</v>
      </c>
      <c r="AK2845" s="93">
        <f>IF(AN2845=12,L2845,0)</f>
        <v>0</v>
      </c>
      <c r="AL2845" s="93">
        <f>IF(AN2845=21,L2845,0)</f>
        <v>0</v>
      </c>
      <c r="AN2845" s="93">
        <v>21</v>
      </c>
      <c r="AO2845" s="93">
        <f>H2845*0</f>
        <v>0</v>
      </c>
      <c r="AP2845" s="93">
        <f>H2845*(1-0)</f>
        <v>0</v>
      </c>
      <c r="AQ2845" s="94" t="s">
        <v>852</v>
      </c>
      <c r="AV2845" s="93">
        <f>AW2845+AX2845</f>
        <v>0</v>
      </c>
      <c r="AW2845" s="93">
        <f>G2845*AO2845</f>
        <v>0</v>
      </c>
      <c r="AX2845" s="93">
        <f>G2845*AP2845</f>
        <v>0</v>
      </c>
      <c r="AY2845" s="94" t="s">
        <v>4206</v>
      </c>
      <c r="AZ2845" s="94" t="s">
        <v>4162</v>
      </c>
      <c r="BA2845" s="88" t="s">
        <v>4080</v>
      </c>
      <c r="BC2845" s="93">
        <f>AW2845+AX2845</f>
        <v>0</v>
      </c>
      <c r="BD2845" s="93">
        <f>H2845/(100-BE2845)*100</f>
        <v>0</v>
      </c>
      <c r="BE2845" s="93">
        <v>0</v>
      </c>
      <c r="BF2845" s="93">
        <f>O2845</f>
        <v>0</v>
      </c>
      <c r="BH2845" s="93">
        <f>G2845*AO2845</f>
        <v>0</v>
      </c>
      <c r="BI2845" s="93">
        <f>G2845*AP2845</f>
        <v>0</v>
      </c>
      <c r="BJ2845" s="93">
        <f>G2845*H2845</f>
        <v>0</v>
      </c>
      <c r="BK2845" s="93"/>
      <c r="BL2845" s="93"/>
      <c r="BU2845" s="93">
        <f>G2845*H2845</f>
        <v>0</v>
      </c>
      <c r="BW2845" s="93" t="str">
        <f>I2845</f>
        <v>21</v>
      </c>
      <c r="BX2845" s="2" t="s">
        <v>4205</v>
      </c>
    </row>
    <row r="2846" spans="1:76" s="81" customFormat="1" ht="13.5" customHeight="1" x14ac:dyDescent="0.25">
      <c r="A2846" s="108" t="s">
        <v>54</v>
      </c>
      <c r="B2846" s="73" t="s">
        <v>4072</v>
      </c>
      <c r="C2846" s="73" t="s">
        <v>54</v>
      </c>
      <c r="D2846" s="184" t="s">
        <v>1353</v>
      </c>
      <c r="E2846" s="184"/>
      <c r="F2846" s="82" t="s">
        <v>4</v>
      </c>
      <c r="G2846" s="82" t="s">
        <v>4</v>
      </c>
      <c r="H2846" s="99" t="s">
        <v>4</v>
      </c>
      <c r="I2846" s="82" t="s">
        <v>4</v>
      </c>
      <c r="J2846" s="83">
        <f>J2847</f>
        <v>0</v>
      </c>
      <c r="K2846" s="83">
        <f>K2847</f>
        <v>0</v>
      </c>
      <c r="L2846" s="83">
        <f>L2847</f>
        <v>0</v>
      </c>
      <c r="M2846" s="83">
        <f>M2847</f>
        <v>0</v>
      </c>
      <c r="N2846" s="84" t="s">
        <v>54</v>
      </c>
      <c r="O2846" s="83">
        <f>O2847</f>
        <v>0</v>
      </c>
      <c r="P2846" s="84" t="s">
        <v>54</v>
      </c>
    </row>
    <row r="2847" spans="1:76" s="81" customFormat="1" ht="13.5" customHeight="1" x14ac:dyDescent="0.25">
      <c r="A2847" s="109" t="s">
        <v>54</v>
      </c>
      <c r="B2847" s="74" t="s">
        <v>4072</v>
      </c>
      <c r="C2847" s="74" t="s">
        <v>2921</v>
      </c>
      <c r="D2847" s="180" t="s">
        <v>2922</v>
      </c>
      <c r="E2847" s="180"/>
      <c r="F2847" s="85" t="s">
        <v>4</v>
      </c>
      <c r="G2847" s="85" t="s">
        <v>4</v>
      </c>
      <c r="H2847" s="98" t="s">
        <v>4</v>
      </c>
      <c r="I2847" s="85" t="s">
        <v>4</v>
      </c>
      <c r="J2847" s="86">
        <f>SUM(J2848:J2848)</f>
        <v>0</v>
      </c>
      <c r="K2847" s="86">
        <f>SUM(K2848:K2848)</f>
        <v>0</v>
      </c>
      <c r="L2847" s="86">
        <f>SUM(L2848:L2848)</f>
        <v>0</v>
      </c>
      <c r="M2847" s="86">
        <f>SUM(M2848:M2848)</f>
        <v>0</v>
      </c>
      <c r="N2847" s="87" t="s">
        <v>54</v>
      </c>
      <c r="O2847" s="86">
        <f>SUM(O2848:O2848)</f>
        <v>0</v>
      </c>
      <c r="P2847" s="87" t="s">
        <v>54</v>
      </c>
      <c r="AI2847" s="88" t="s">
        <v>4072</v>
      </c>
      <c r="AS2847" s="89">
        <f>SUM(AJ2848:AJ2848)</f>
        <v>0</v>
      </c>
      <c r="AT2847" s="89">
        <f>SUM(AK2848:AK2848)</f>
        <v>0</v>
      </c>
      <c r="AU2847" s="89">
        <f>SUM(AL2848:AL2848)</f>
        <v>0</v>
      </c>
    </row>
    <row r="2848" spans="1:76" s="81" customFormat="1" ht="13.5" customHeight="1" x14ac:dyDescent="0.25">
      <c r="A2848" s="66" t="s">
        <v>4332</v>
      </c>
      <c r="B2848" s="72" t="s">
        <v>4072</v>
      </c>
      <c r="C2848" s="72" t="s">
        <v>3184</v>
      </c>
      <c r="D2848" s="174" t="s">
        <v>3185</v>
      </c>
      <c r="E2848" s="174"/>
      <c r="F2848" s="72" t="s">
        <v>203</v>
      </c>
      <c r="G2848" s="90">
        <v>1</v>
      </c>
      <c r="H2848" s="91"/>
      <c r="I2848" s="92" t="s">
        <v>63</v>
      </c>
      <c r="J2848" s="90">
        <f>G2848*AO2848</f>
        <v>0</v>
      </c>
      <c r="K2848" s="90">
        <f>G2848*AP2848</f>
        <v>0</v>
      </c>
      <c r="L2848" s="90">
        <f>G2848*H2848</f>
        <v>0</v>
      </c>
      <c r="M2848" s="90">
        <f>L2848*(1+BW2848/100)</f>
        <v>0</v>
      </c>
      <c r="N2848" s="90">
        <v>0</v>
      </c>
      <c r="O2848" s="90">
        <f>G2848*N2848</f>
        <v>0</v>
      </c>
      <c r="P2848" s="92" t="s">
        <v>578</v>
      </c>
      <c r="Z2848" s="93">
        <f>IF(AQ2848="5",BJ2848,0)</f>
        <v>0</v>
      </c>
      <c r="AB2848" s="93">
        <f>IF(AQ2848="1",BH2848,0)</f>
        <v>0</v>
      </c>
      <c r="AC2848" s="93">
        <f>IF(AQ2848="1",BI2848,0)</f>
        <v>0</v>
      </c>
      <c r="AD2848" s="93">
        <f>IF(AQ2848="7",BH2848,0)</f>
        <v>0</v>
      </c>
      <c r="AE2848" s="93">
        <f>IF(AQ2848="7",BI2848,0)</f>
        <v>0</v>
      </c>
      <c r="AF2848" s="93">
        <f>IF(AQ2848="2",BH2848,0)</f>
        <v>0</v>
      </c>
      <c r="AG2848" s="93">
        <f>IF(AQ2848="2",BI2848,0)</f>
        <v>0</v>
      </c>
      <c r="AH2848" s="93">
        <f>IF(AQ2848="0",BJ2848,0)</f>
        <v>0</v>
      </c>
      <c r="AI2848" s="88" t="s">
        <v>4072</v>
      </c>
      <c r="AJ2848" s="93">
        <f>IF(AN2848=0,L2848,0)</f>
        <v>0</v>
      </c>
      <c r="AK2848" s="93">
        <f>IF(AN2848=12,L2848,0)</f>
        <v>0</v>
      </c>
      <c r="AL2848" s="93">
        <f>IF(AN2848=21,L2848,0)</f>
        <v>0</v>
      </c>
      <c r="AN2848" s="93">
        <v>21</v>
      </c>
      <c r="AO2848" s="93">
        <f>H2848*0</f>
        <v>0</v>
      </c>
      <c r="AP2848" s="93">
        <f>H2848*(1-0)</f>
        <v>0</v>
      </c>
      <c r="AQ2848" s="94" t="s">
        <v>148</v>
      </c>
      <c r="AV2848" s="93">
        <f>AW2848+AX2848</f>
        <v>0</v>
      </c>
      <c r="AW2848" s="93">
        <f>G2848*AO2848</f>
        <v>0</v>
      </c>
      <c r="AX2848" s="93">
        <f>G2848*AP2848</f>
        <v>0</v>
      </c>
      <c r="AY2848" s="94" t="s">
        <v>2926</v>
      </c>
      <c r="AZ2848" s="94" t="s">
        <v>4208</v>
      </c>
      <c r="BA2848" s="88" t="s">
        <v>4080</v>
      </c>
      <c r="BC2848" s="93">
        <f>AW2848+AX2848</f>
        <v>0</v>
      </c>
      <c r="BD2848" s="93">
        <f>H2848/(100-BE2848)*100</f>
        <v>0</v>
      </c>
      <c r="BE2848" s="93">
        <v>0</v>
      </c>
      <c r="BF2848" s="93">
        <f>O2848</f>
        <v>0</v>
      </c>
      <c r="BH2848" s="93">
        <f>G2848*AO2848</f>
        <v>0</v>
      </c>
      <c r="BI2848" s="93">
        <f>G2848*AP2848</f>
        <v>0</v>
      </c>
      <c r="BJ2848" s="93">
        <f>G2848*H2848</f>
        <v>0</v>
      </c>
      <c r="BK2848" s="93"/>
      <c r="BL2848" s="93"/>
      <c r="BW2848" s="93" t="str">
        <f>I2848</f>
        <v>21</v>
      </c>
      <c r="BX2848" s="2" t="s">
        <v>3185</v>
      </c>
    </row>
    <row r="2849" spans="1:76" s="81" customFormat="1" x14ac:dyDescent="0.25">
      <c r="A2849" s="108" t="s">
        <v>54</v>
      </c>
      <c r="B2849" s="73" t="s">
        <v>4072</v>
      </c>
      <c r="C2849" s="73" t="s">
        <v>54</v>
      </c>
      <c r="D2849" s="184" t="s">
        <v>3488</v>
      </c>
      <c r="E2849" s="184"/>
      <c r="F2849" s="82" t="s">
        <v>4</v>
      </c>
      <c r="G2849" s="82" t="s">
        <v>4</v>
      </c>
      <c r="H2849" s="99" t="s">
        <v>4</v>
      </c>
      <c r="I2849" s="82" t="s">
        <v>4</v>
      </c>
      <c r="J2849" s="83">
        <f>J2850</f>
        <v>0</v>
      </c>
      <c r="K2849" s="83">
        <f>K2850</f>
        <v>0</v>
      </c>
      <c r="L2849" s="83">
        <f>L2850</f>
        <v>0</v>
      </c>
      <c r="M2849" s="83">
        <f>M2850</f>
        <v>0</v>
      </c>
      <c r="N2849" s="84" t="s">
        <v>54</v>
      </c>
      <c r="O2849" s="83">
        <f>O2850</f>
        <v>0</v>
      </c>
      <c r="P2849" s="84" t="s">
        <v>54</v>
      </c>
    </row>
    <row r="2850" spans="1:76" s="81" customFormat="1" x14ac:dyDescent="0.25">
      <c r="A2850" s="109" t="s">
        <v>54</v>
      </c>
      <c r="B2850" s="74" t="s">
        <v>4072</v>
      </c>
      <c r="C2850" s="74" t="s">
        <v>3489</v>
      </c>
      <c r="D2850" s="180" t="s">
        <v>3490</v>
      </c>
      <c r="E2850" s="180"/>
      <c r="F2850" s="85" t="s">
        <v>4</v>
      </c>
      <c r="G2850" s="85" t="s">
        <v>4</v>
      </c>
      <c r="H2850" s="98" t="s">
        <v>4</v>
      </c>
      <c r="I2850" s="85" t="s">
        <v>4</v>
      </c>
      <c r="J2850" s="86">
        <f>SUM(J2851:J2852)</f>
        <v>0</v>
      </c>
      <c r="K2850" s="86">
        <f>SUM(K2851:K2852)</f>
        <v>0</v>
      </c>
      <c r="L2850" s="86">
        <f>SUM(L2851:L2852)</f>
        <v>0</v>
      </c>
      <c r="M2850" s="86">
        <f>SUM(M2851:M2852)</f>
        <v>0</v>
      </c>
      <c r="N2850" s="87" t="s">
        <v>54</v>
      </c>
      <c r="O2850" s="86">
        <f>SUM(O2851:O2852)</f>
        <v>0</v>
      </c>
      <c r="P2850" s="87" t="s">
        <v>54</v>
      </c>
      <c r="AI2850" s="88" t="s">
        <v>4072</v>
      </c>
      <c r="AS2850" s="89">
        <f>SUM(AJ2851:AJ2852)</f>
        <v>0</v>
      </c>
      <c r="AT2850" s="89">
        <f>SUM(AK2851:AK2852)</f>
        <v>0</v>
      </c>
      <c r="AU2850" s="89">
        <f>SUM(AL2851:AL2852)</f>
        <v>0</v>
      </c>
    </row>
    <row r="2851" spans="1:76" s="81" customFormat="1" x14ac:dyDescent="0.25">
      <c r="A2851" s="66" t="s">
        <v>4333</v>
      </c>
      <c r="B2851" s="72" t="s">
        <v>4072</v>
      </c>
      <c r="C2851" s="72" t="s">
        <v>4210</v>
      </c>
      <c r="D2851" s="174" t="s">
        <v>4211</v>
      </c>
      <c r="E2851" s="174"/>
      <c r="F2851" s="72" t="s">
        <v>3596</v>
      </c>
      <c r="G2851" s="90">
        <v>19</v>
      </c>
      <c r="H2851" s="91"/>
      <c r="I2851" s="92" t="s">
        <v>63</v>
      </c>
      <c r="J2851" s="90">
        <f>G2851*AO2851</f>
        <v>0</v>
      </c>
      <c r="K2851" s="90">
        <f>G2851*AP2851</f>
        <v>0</v>
      </c>
      <c r="L2851" s="90">
        <f>G2851*H2851</f>
        <v>0</v>
      </c>
      <c r="M2851" s="90">
        <f>L2851*(1+BW2851/100)</f>
        <v>0</v>
      </c>
      <c r="N2851" s="90">
        <v>0</v>
      </c>
      <c r="O2851" s="90">
        <f>G2851*N2851</f>
        <v>0</v>
      </c>
      <c r="P2851" s="92" t="s">
        <v>1647</v>
      </c>
      <c r="Z2851" s="93">
        <f>IF(AQ2851="5",BJ2851,0)</f>
        <v>0</v>
      </c>
      <c r="AB2851" s="93">
        <f>IF(AQ2851="1",BH2851,0)</f>
        <v>0</v>
      </c>
      <c r="AC2851" s="93">
        <f>IF(AQ2851="1",BI2851,0)</f>
        <v>0</v>
      </c>
      <c r="AD2851" s="93">
        <f>IF(AQ2851="7",BH2851,0)</f>
        <v>0</v>
      </c>
      <c r="AE2851" s="93">
        <f>IF(AQ2851="7",BI2851,0)</f>
        <v>0</v>
      </c>
      <c r="AF2851" s="93">
        <f>IF(AQ2851="2",BH2851,0)</f>
        <v>0</v>
      </c>
      <c r="AG2851" s="93">
        <f>IF(AQ2851="2",BI2851,0)</f>
        <v>0</v>
      </c>
      <c r="AH2851" s="93">
        <f>IF(AQ2851="0",BJ2851,0)</f>
        <v>0</v>
      </c>
      <c r="AI2851" s="88" t="s">
        <v>4072</v>
      </c>
      <c r="AJ2851" s="93">
        <f>IF(AN2851=0,L2851,0)</f>
        <v>0</v>
      </c>
      <c r="AK2851" s="93">
        <f>IF(AN2851=12,L2851,0)</f>
        <v>0</v>
      </c>
      <c r="AL2851" s="93">
        <f>IF(AN2851=21,L2851,0)</f>
        <v>0</v>
      </c>
      <c r="AN2851" s="93">
        <v>21</v>
      </c>
      <c r="AO2851" s="93">
        <f>H2851*0</f>
        <v>0</v>
      </c>
      <c r="AP2851" s="93">
        <f>H2851*(1-0)</f>
        <v>0</v>
      </c>
      <c r="AQ2851" s="94" t="s">
        <v>118</v>
      </c>
      <c r="AV2851" s="93">
        <f>AW2851+AX2851</f>
        <v>0</v>
      </c>
      <c r="AW2851" s="93">
        <f>G2851*AO2851</f>
        <v>0</v>
      </c>
      <c r="AX2851" s="93">
        <f>G2851*AP2851</f>
        <v>0</v>
      </c>
      <c r="AY2851" s="94" t="s">
        <v>3494</v>
      </c>
      <c r="AZ2851" s="94" t="s">
        <v>4212</v>
      </c>
      <c r="BA2851" s="88" t="s">
        <v>4080</v>
      </c>
      <c r="BC2851" s="93">
        <f>AW2851+AX2851</f>
        <v>0</v>
      </c>
      <c r="BD2851" s="93">
        <f>H2851/(100-BE2851)*100</f>
        <v>0</v>
      </c>
      <c r="BE2851" s="93">
        <v>0</v>
      </c>
      <c r="BF2851" s="93">
        <f>O2851</f>
        <v>0</v>
      </c>
      <c r="BH2851" s="93">
        <f>G2851*AO2851</f>
        <v>0</v>
      </c>
      <c r="BI2851" s="93">
        <f>G2851*AP2851</f>
        <v>0</v>
      </c>
      <c r="BJ2851" s="93">
        <f>G2851*H2851</f>
        <v>0</v>
      </c>
      <c r="BK2851" s="93"/>
      <c r="BL2851" s="93"/>
      <c r="BW2851" s="93" t="str">
        <f>I2851</f>
        <v>21</v>
      </c>
      <c r="BX2851" s="2" t="s">
        <v>4211</v>
      </c>
    </row>
    <row r="2852" spans="1:76" s="81" customFormat="1" x14ac:dyDescent="0.25">
      <c r="A2852" s="70" t="s">
        <v>4351</v>
      </c>
      <c r="B2852" s="75" t="s">
        <v>4072</v>
      </c>
      <c r="C2852" s="75" t="s">
        <v>4214</v>
      </c>
      <c r="D2852" s="202" t="s">
        <v>4215</v>
      </c>
      <c r="E2852" s="202"/>
      <c r="F2852" s="75" t="s">
        <v>3596</v>
      </c>
      <c r="G2852" s="100">
        <v>20</v>
      </c>
      <c r="H2852" s="101"/>
      <c r="I2852" s="102" t="s">
        <v>63</v>
      </c>
      <c r="J2852" s="100">
        <f>G2852*AO2852</f>
        <v>0</v>
      </c>
      <c r="K2852" s="100">
        <f>G2852*AP2852</f>
        <v>0</v>
      </c>
      <c r="L2852" s="100">
        <f>G2852*H2852</f>
        <v>0</v>
      </c>
      <c r="M2852" s="100">
        <f>L2852*(1+BW2852/100)</f>
        <v>0</v>
      </c>
      <c r="N2852" s="100">
        <v>0</v>
      </c>
      <c r="O2852" s="100">
        <f>G2852*N2852</f>
        <v>0</v>
      </c>
      <c r="P2852" s="102" t="s">
        <v>1647</v>
      </c>
      <c r="Z2852" s="93">
        <f>IF(AQ2852="5",BJ2852,0)</f>
        <v>0</v>
      </c>
      <c r="AB2852" s="93">
        <f>IF(AQ2852="1",BH2852,0)</f>
        <v>0</v>
      </c>
      <c r="AC2852" s="93">
        <f>IF(AQ2852="1",BI2852,0)</f>
        <v>0</v>
      </c>
      <c r="AD2852" s="93">
        <f>IF(AQ2852="7",BH2852,0)</f>
        <v>0</v>
      </c>
      <c r="AE2852" s="93">
        <f>IF(AQ2852="7",BI2852,0)</f>
        <v>0</v>
      </c>
      <c r="AF2852" s="93">
        <f>IF(AQ2852="2",BH2852,0)</f>
        <v>0</v>
      </c>
      <c r="AG2852" s="93">
        <f>IF(AQ2852="2",BI2852,0)</f>
        <v>0</v>
      </c>
      <c r="AH2852" s="93">
        <f>IF(AQ2852="0",BJ2852,0)</f>
        <v>0</v>
      </c>
      <c r="AI2852" s="88" t="s">
        <v>4072</v>
      </c>
      <c r="AJ2852" s="93">
        <f>IF(AN2852=0,L2852,0)</f>
        <v>0</v>
      </c>
      <c r="AK2852" s="93">
        <f>IF(AN2852=12,L2852,0)</f>
        <v>0</v>
      </c>
      <c r="AL2852" s="93">
        <f>IF(AN2852=21,L2852,0)</f>
        <v>0</v>
      </c>
      <c r="AN2852" s="93">
        <v>21</v>
      </c>
      <c r="AO2852" s="93">
        <f>H2852*0</f>
        <v>0</v>
      </c>
      <c r="AP2852" s="93">
        <f>H2852*(1-0)</f>
        <v>0</v>
      </c>
      <c r="AQ2852" s="94" t="s">
        <v>118</v>
      </c>
      <c r="AV2852" s="93">
        <f>AW2852+AX2852</f>
        <v>0</v>
      </c>
      <c r="AW2852" s="93">
        <f>G2852*AO2852</f>
        <v>0</v>
      </c>
      <c r="AX2852" s="93">
        <f>G2852*AP2852</f>
        <v>0</v>
      </c>
      <c r="AY2852" s="94" t="s">
        <v>3494</v>
      </c>
      <c r="AZ2852" s="94" t="s">
        <v>4212</v>
      </c>
      <c r="BA2852" s="88" t="s">
        <v>4080</v>
      </c>
      <c r="BC2852" s="93">
        <f>AW2852+AX2852</f>
        <v>0</v>
      </c>
      <c r="BD2852" s="93">
        <f>H2852/(100-BE2852)*100</f>
        <v>0</v>
      </c>
      <c r="BE2852" s="93">
        <v>0</v>
      </c>
      <c r="BF2852" s="93">
        <f>O2852</f>
        <v>0</v>
      </c>
      <c r="BH2852" s="93">
        <f>G2852*AO2852</f>
        <v>0</v>
      </c>
      <c r="BI2852" s="93">
        <f>G2852*AP2852</f>
        <v>0</v>
      </c>
      <c r="BJ2852" s="93">
        <f>G2852*H2852</f>
        <v>0</v>
      </c>
      <c r="BK2852" s="93"/>
      <c r="BL2852" s="93"/>
      <c r="BW2852" s="93" t="str">
        <f>I2852</f>
        <v>21</v>
      </c>
      <c r="BX2852" s="2" t="s">
        <v>4215</v>
      </c>
    </row>
    <row r="2853" spans="1:76" x14ac:dyDescent="0.25">
      <c r="J2853" s="201" t="s">
        <v>4216</v>
      </c>
      <c r="K2853" s="201"/>
      <c r="L2853" s="25">
        <f>L14+L75+L90+L111+L120+L127+L209+L361+L405+L468+L657+L664+L677+L684+L690+L861+L998+L1105+L1133+L1161+L1170+L1175+L1178+L1269+L1387+L1553+L1575+L1592+L1604+L1612+L1621+L1635+L1642+L1650+L1674+L1701+L1730+L1772+L1782+L1818+L1894+L2000+L2033+L2103+L2150+L2226+L2230+L2235+L2239+L2359+L2537+L2719+L2725+L2730+L2735+L2745+L2749+L2752+L2755+L2764+L2768+L2776+L2794+L2798+L2800+L2811+L2828+L2831+L2834+L2837+L2839+L2842+L2844+L2847+L2850</f>
        <v>0</v>
      </c>
      <c r="M2853" s="25">
        <f>M14+M75+M90+M111+M120+M127+M209+M361+M405+M468+M657+M664+M677+M684+M690+M861+M998+M1105+M1133+M1161+M1170+M1175+M1178+M1269+M1387+M1553+M1575+M1592+M1604+M1612+M1621+M1635+M1642+M1650+M1674+M1701+M1730+M1772+M1782+M1818+M1894+M2000+M2033+M2103+M2150+M2226+M2230+M2235+M2239+M2359+M2537+M2719+M2725+M2730+M2735+M2745+M2749+M2752+M2755+M2764+M2768+M2776+M2794+M2798+M2800+M2811+M2828+M2831+M2834+M2837+M2839+M2842+M2844+M2847+M2850</f>
        <v>0</v>
      </c>
    </row>
    <row r="2854" spans="1:76" x14ac:dyDescent="0.25">
      <c r="A2854" s="26" t="s">
        <v>4217</v>
      </c>
    </row>
    <row r="2855" spans="1:76" ht="409.6" customHeight="1" x14ac:dyDescent="0.25">
      <c r="A2855" s="120" t="s">
        <v>4304</v>
      </c>
      <c r="B2855" s="117"/>
      <c r="C2855" s="117"/>
      <c r="D2855" s="117"/>
      <c r="E2855" s="117"/>
      <c r="F2855" s="117"/>
      <c r="G2855" s="117"/>
      <c r="H2855" s="117"/>
      <c r="I2855" s="117"/>
      <c r="J2855" s="117"/>
      <c r="K2855" s="117"/>
      <c r="L2855" s="117"/>
      <c r="M2855" s="117"/>
      <c r="N2855" s="117"/>
      <c r="O2855" s="117"/>
      <c r="P2855" s="117"/>
    </row>
  </sheetData>
  <sheetProtection algorithmName="SHA-512" hashValue="dT5qbZJpnwOeYGvguAAfL74OeQh3j4zsqp8XYivmn0iBmBCw7977WeIFpkInULIploG5+6Xm2TaagmhyWsB+Eg==" saltValue="Hef3g+bKR87+/MlPw23P/A==" spinCount="100000" sheet="1" objects="1" scenarios="1"/>
  <mergeCells count="1263">
    <mergeCell ref="J2853:K2853"/>
    <mergeCell ref="A2855:P2855"/>
    <mergeCell ref="D2848:E2848"/>
    <mergeCell ref="D2849:E2849"/>
    <mergeCell ref="D2850:E2850"/>
    <mergeCell ref="D2851:E2851"/>
    <mergeCell ref="D2852:E2852"/>
    <mergeCell ref="D2843:E2843"/>
    <mergeCell ref="D2844:E2844"/>
    <mergeCell ref="D2845:E2845"/>
    <mergeCell ref="D2846:E2846"/>
    <mergeCell ref="D2847:E2847"/>
    <mergeCell ref="D2838:E2838"/>
    <mergeCell ref="D2839:E2839"/>
    <mergeCell ref="D2840:E2840"/>
    <mergeCell ref="D2841:E2841"/>
    <mergeCell ref="D2842:E2842"/>
    <mergeCell ref="D2833:P2833"/>
    <mergeCell ref="D2834:E2834"/>
    <mergeCell ref="D2835:E2835"/>
    <mergeCell ref="D2836:E2836"/>
    <mergeCell ref="D2837:E2837"/>
    <mergeCell ref="D2828:E2828"/>
    <mergeCell ref="D2829:E2829"/>
    <mergeCell ref="D2830:E2830"/>
    <mergeCell ref="D2831:E2831"/>
    <mergeCell ref="D2832:E2832"/>
    <mergeCell ref="D2821:E2821"/>
    <mergeCell ref="D2823:E2823"/>
    <mergeCell ref="D2824:E2824"/>
    <mergeCell ref="D2826:E2826"/>
    <mergeCell ref="D2827:E2827"/>
    <mergeCell ref="D2812:E2812"/>
    <mergeCell ref="D2813:P2813"/>
    <mergeCell ref="D2816:E2816"/>
    <mergeCell ref="D2817:P2817"/>
    <mergeCell ref="D2820:E2820"/>
    <mergeCell ref="D2798:E2798"/>
    <mergeCell ref="D2799:E2799"/>
    <mergeCell ref="D2800:E2800"/>
    <mergeCell ref="D2811:E2811"/>
    <mergeCell ref="D2791:P2791"/>
    <mergeCell ref="D2794:E2794"/>
    <mergeCell ref="D2795:E2795"/>
    <mergeCell ref="D2796:P2796"/>
    <mergeCell ref="D2797:E2797"/>
    <mergeCell ref="D2777:E2777"/>
    <mergeCell ref="D2778:P2778"/>
    <mergeCell ref="D2783:E2783"/>
    <mergeCell ref="D2786:E2786"/>
    <mergeCell ref="D2790:E2790"/>
    <mergeCell ref="D2764:E2764"/>
    <mergeCell ref="D2765:E2765"/>
    <mergeCell ref="D2768:E2768"/>
    <mergeCell ref="D2769:E2769"/>
    <mergeCell ref="D2776:E2776"/>
    <mergeCell ref="D2801:E2801"/>
    <mergeCell ref="D2802:P2802"/>
    <mergeCell ref="D2803:E2803"/>
    <mergeCell ref="D2804:P2804"/>
    <mergeCell ref="D2805:E2805"/>
    <mergeCell ref="D2806:P2806"/>
    <mergeCell ref="D2807:E2807"/>
    <mergeCell ref="D2808:P2808"/>
    <mergeCell ref="D2809:E2809"/>
    <mergeCell ref="D2810:P2810"/>
    <mergeCell ref="D2759:E2759"/>
    <mergeCell ref="D2760:P2760"/>
    <mergeCell ref="D2761:E2761"/>
    <mergeCell ref="D2762:E2762"/>
    <mergeCell ref="D2763:E2763"/>
    <mergeCell ref="D2753:E2753"/>
    <mergeCell ref="D2754:E2754"/>
    <mergeCell ref="D2755:E2755"/>
    <mergeCell ref="D2756:E2756"/>
    <mergeCell ref="D2757:P2757"/>
    <mergeCell ref="D2745:E2745"/>
    <mergeCell ref="D2746:E2746"/>
    <mergeCell ref="D2749:E2749"/>
    <mergeCell ref="D2750:E2750"/>
    <mergeCell ref="D2752:E2752"/>
    <mergeCell ref="D2732:P2732"/>
    <mergeCell ref="D2735:E2735"/>
    <mergeCell ref="D2736:E2736"/>
    <mergeCell ref="D2740:E2740"/>
    <mergeCell ref="D2744:E2744"/>
    <mergeCell ref="D2726:E2726"/>
    <mergeCell ref="D2727:E2727"/>
    <mergeCell ref="D2729:E2729"/>
    <mergeCell ref="D2730:E2730"/>
    <mergeCell ref="D2731:E2731"/>
    <mergeCell ref="D2718:E2718"/>
    <mergeCell ref="D2719:E2719"/>
    <mergeCell ref="D2720:E2720"/>
    <mergeCell ref="D2723:E2723"/>
    <mergeCell ref="D2725:E2725"/>
    <mergeCell ref="D2713:E2713"/>
    <mergeCell ref="D2714:E2714"/>
    <mergeCell ref="D2715:E2715"/>
    <mergeCell ref="D2716:E2716"/>
    <mergeCell ref="D2717:E2717"/>
    <mergeCell ref="D2708:E2708"/>
    <mergeCell ref="D2709:E2709"/>
    <mergeCell ref="D2710:E2710"/>
    <mergeCell ref="D2711:E2711"/>
    <mergeCell ref="D2712:E2712"/>
    <mergeCell ref="D2703:E2703"/>
    <mergeCell ref="D2704:E2704"/>
    <mergeCell ref="D2705:E2705"/>
    <mergeCell ref="D2706:E2706"/>
    <mergeCell ref="D2707:E2707"/>
    <mergeCell ref="D2698:E2698"/>
    <mergeCell ref="D2699:E2699"/>
    <mergeCell ref="D2700:E2700"/>
    <mergeCell ref="D2701:E2701"/>
    <mergeCell ref="D2702:E2702"/>
    <mergeCell ref="D2693:E2693"/>
    <mergeCell ref="D2694:E2694"/>
    <mergeCell ref="D2695:E2695"/>
    <mergeCell ref="D2696:E2696"/>
    <mergeCell ref="D2697:E2697"/>
    <mergeCell ref="D2688:E2688"/>
    <mergeCell ref="D2689:E2689"/>
    <mergeCell ref="D2690:E2690"/>
    <mergeCell ref="D2691:E2691"/>
    <mergeCell ref="D2692:E2692"/>
    <mergeCell ref="D2683:E2683"/>
    <mergeCell ref="D2684:E2684"/>
    <mergeCell ref="D2685:E2685"/>
    <mergeCell ref="D2686:E2686"/>
    <mergeCell ref="D2687:E2687"/>
    <mergeCell ref="D2678:E2678"/>
    <mergeCell ref="D2679:E2679"/>
    <mergeCell ref="D2680:E2680"/>
    <mergeCell ref="D2681:E2681"/>
    <mergeCell ref="D2682:E2682"/>
    <mergeCell ref="D2673:E2673"/>
    <mergeCell ref="D2674:E2674"/>
    <mergeCell ref="D2675:E2675"/>
    <mergeCell ref="D2676:E2676"/>
    <mergeCell ref="D2677:E2677"/>
    <mergeCell ref="D2668:E2668"/>
    <mergeCell ref="D2669:E2669"/>
    <mergeCell ref="D2670:E2670"/>
    <mergeCell ref="D2671:E2671"/>
    <mergeCell ref="D2672:E2672"/>
    <mergeCell ref="D2663:E2663"/>
    <mergeCell ref="D2664:E2664"/>
    <mergeCell ref="D2665:E2665"/>
    <mergeCell ref="D2666:E2666"/>
    <mergeCell ref="D2667:E2667"/>
    <mergeCell ref="D2658:E2658"/>
    <mergeCell ref="D2659:E2659"/>
    <mergeCell ref="D2660:E2660"/>
    <mergeCell ref="D2661:E2661"/>
    <mergeCell ref="D2662:E2662"/>
    <mergeCell ref="D2653:E2653"/>
    <mergeCell ref="D2654:E2654"/>
    <mergeCell ref="D2655:E2655"/>
    <mergeCell ref="D2656:E2656"/>
    <mergeCell ref="D2657:E2657"/>
    <mergeCell ref="D2648:E2648"/>
    <mergeCell ref="D2649:E2649"/>
    <mergeCell ref="D2650:E2650"/>
    <mergeCell ref="D2651:E2651"/>
    <mergeCell ref="D2652:E2652"/>
    <mergeCell ref="D2643:E2643"/>
    <mergeCell ref="D2644:E2644"/>
    <mergeCell ref="D2645:E2645"/>
    <mergeCell ref="D2646:E2646"/>
    <mergeCell ref="D2647:E2647"/>
    <mergeCell ref="D2638:E2638"/>
    <mergeCell ref="D2639:E2639"/>
    <mergeCell ref="D2640:E2640"/>
    <mergeCell ref="D2641:E2641"/>
    <mergeCell ref="D2642:E2642"/>
    <mergeCell ref="D2633:E2633"/>
    <mergeCell ref="D2634:E2634"/>
    <mergeCell ref="D2635:E2635"/>
    <mergeCell ref="D2636:E2636"/>
    <mergeCell ref="D2637:E2637"/>
    <mergeCell ref="D2628:E2628"/>
    <mergeCell ref="D2629:E2629"/>
    <mergeCell ref="D2630:E2630"/>
    <mergeCell ref="D2631:E2631"/>
    <mergeCell ref="D2632:E2632"/>
    <mergeCell ref="D2623:E2623"/>
    <mergeCell ref="D2624:E2624"/>
    <mergeCell ref="D2625:E2625"/>
    <mergeCell ref="D2626:E2626"/>
    <mergeCell ref="D2627:E2627"/>
    <mergeCell ref="D2618:E2618"/>
    <mergeCell ref="D2619:E2619"/>
    <mergeCell ref="D2620:E2620"/>
    <mergeCell ref="D2621:E2621"/>
    <mergeCell ref="D2622:E2622"/>
    <mergeCell ref="D2613:E2613"/>
    <mergeCell ref="D2614:E2614"/>
    <mergeCell ref="D2615:E2615"/>
    <mergeCell ref="D2616:E2616"/>
    <mergeCell ref="D2617:E2617"/>
    <mergeCell ref="D2608:E2608"/>
    <mergeCell ref="D2609:E2609"/>
    <mergeCell ref="D2610:E2610"/>
    <mergeCell ref="D2611:E2611"/>
    <mergeCell ref="D2612:E2612"/>
    <mergeCell ref="D2603:E2603"/>
    <mergeCell ref="D2604:E2604"/>
    <mergeCell ref="D2605:E2605"/>
    <mergeCell ref="D2606:E2606"/>
    <mergeCell ref="D2607:E2607"/>
    <mergeCell ref="D2598:E2598"/>
    <mergeCell ref="D2599:E2599"/>
    <mergeCell ref="D2600:E2600"/>
    <mergeCell ref="D2601:E2601"/>
    <mergeCell ref="D2602:E2602"/>
    <mergeCell ref="D2593:E2593"/>
    <mergeCell ref="D2594:E2594"/>
    <mergeCell ref="D2595:E2595"/>
    <mergeCell ref="D2596:E2596"/>
    <mergeCell ref="D2597:E2597"/>
    <mergeCell ref="D2588:E2588"/>
    <mergeCell ref="D2589:E2589"/>
    <mergeCell ref="D2590:E2590"/>
    <mergeCell ref="D2591:E2591"/>
    <mergeCell ref="D2592:E2592"/>
    <mergeCell ref="D2583:E2583"/>
    <mergeCell ref="D2584:E2584"/>
    <mergeCell ref="D2585:E2585"/>
    <mergeCell ref="D2586:E2586"/>
    <mergeCell ref="D2587:E2587"/>
    <mergeCell ref="D2578:E2578"/>
    <mergeCell ref="D2579:E2579"/>
    <mergeCell ref="D2580:E2580"/>
    <mergeCell ref="D2581:E2581"/>
    <mergeCell ref="D2582:E2582"/>
    <mergeCell ref="D2573:E2573"/>
    <mergeCell ref="D2574:E2574"/>
    <mergeCell ref="D2575:E2575"/>
    <mergeCell ref="D2576:E2576"/>
    <mergeCell ref="D2577:E2577"/>
    <mergeCell ref="D2568:E2568"/>
    <mergeCell ref="D2569:E2569"/>
    <mergeCell ref="D2570:E2570"/>
    <mergeCell ref="D2571:E2571"/>
    <mergeCell ref="D2572:E2572"/>
    <mergeCell ref="D2563:E2563"/>
    <mergeCell ref="D2564:E2564"/>
    <mergeCell ref="D2565:E2565"/>
    <mergeCell ref="D2566:E2566"/>
    <mergeCell ref="D2567:E2567"/>
    <mergeCell ref="D2558:E2558"/>
    <mergeCell ref="D2559:E2559"/>
    <mergeCell ref="D2560:E2560"/>
    <mergeCell ref="D2561:E2561"/>
    <mergeCell ref="D2562:E2562"/>
    <mergeCell ref="D2553:E2553"/>
    <mergeCell ref="D2554:E2554"/>
    <mergeCell ref="D2555:E2555"/>
    <mergeCell ref="D2556:E2556"/>
    <mergeCell ref="D2557:E2557"/>
    <mergeCell ref="D2548:E2548"/>
    <mergeCell ref="D2549:E2549"/>
    <mergeCell ref="D2550:E2550"/>
    <mergeCell ref="D2551:E2551"/>
    <mergeCell ref="D2552:E2552"/>
    <mergeCell ref="D2543:E2543"/>
    <mergeCell ref="D2544:E2544"/>
    <mergeCell ref="D2545:E2545"/>
    <mergeCell ref="D2546:E2546"/>
    <mergeCell ref="D2547:E2547"/>
    <mergeCell ref="D2538:E2538"/>
    <mergeCell ref="D2539:E2539"/>
    <mergeCell ref="D2540:E2540"/>
    <mergeCell ref="D2541:E2541"/>
    <mergeCell ref="D2542:E2542"/>
    <mergeCell ref="D2533:P2533"/>
    <mergeCell ref="D2534:E2534"/>
    <mergeCell ref="D2535:E2535"/>
    <mergeCell ref="D2536:E2536"/>
    <mergeCell ref="D2537:E2537"/>
    <mergeCell ref="D2524:P2524"/>
    <mergeCell ref="D2525:E2525"/>
    <mergeCell ref="D2526:E2526"/>
    <mergeCell ref="D2531:E2531"/>
    <mergeCell ref="D2532:E2532"/>
    <mergeCell ref="D2527:E2527"/>
    <mergeCell ref="D2528:P2528"/>
    <mergeCell ref="D2529:E2529"/>
    <mergeCell ref="D2530:P2530"/>
    <mergeCell ref="D2519:E2519"/>
    <mergeCell ref="D2520:P2520"/>
    <mergeCell ref="D2521:E2521"/>
    <mergeCell ref="D2522:E2522"/>
    <mergeCell ref="D2523:E2523"/>
    <mergeCell ref="D2511:E2511"/>
    <mergeCell ref="D2513:E2513"/>
    <mergeCell ref="D2514:E2514"/>
    <mergeCell ref="D2515:E2515"/>
    <mergeCell ref="D2518:E2518"/>
    <mergeCell ref="D2506:E2506"/>
    <mergeCell ref="D2507:E2507"/>
    <mergeCell ref="D2508:E2508"/>
    <mergeCell ref="D2509:E2509"/>
    <mergeCell ref="D2510:E2510"/>
    <mergeCell ref="D2501:E2501"/>
    <mergeCell ref="D2502:E2502"/>
    <mergeCell ref="D2503:E2503"/>
    <mergeCell ref="D2504:E2504"/>
    <mergeCell ref="D2505:E2505"/>
    <mergeCell ref="D2516:E2516"/>
    <mergeCell ref="D2517:P2517"/>
    <mergeCell ref="D2495:E2495"/>
    <mergeCell ref="D2496:P2496"/>
    <mergeCell ref="D2497:E2497"/>
    <mergeCell ref="D2498:P2498"/>
    <mergeCell ref="D2499:E2499"/>
    <mergeCell ref="D2488:E2488"/>
    <mergeCell ref="D2490:E2490"/>
    <mergeCell ref="D2491:E2491"/>
    <mergeCell ref="D2493:E2493"/>
    <mergeCell ref="D2494:P2494"/>
    <mergeCell ref="D2483:E2483"/>
    <mergeCell ref="D2484:E2484"/>
    <mergeCell ref="D2485:E2485"/>
    <mergeCell ref="D2486:E2486"/>
    <mergeCell ref="D2487:E2487"/>
    <mergeCell ref="D2478:E2478"/>
    <mergeCell ref="D2479:P2479"/>
    <mergeCell ref="D2480:E2480"/>
    <mergeCell ref="D2481:E2481"/>
    <mergeCell ref="D2482:P2482"/>
    <mergeCell ref="D2473:E2473"/>
    <mergeCell ref="D2474:E2474"/>
    <mergeCell ref="D2475:E2475"/>
    <mergeCell ref="D2476:E2476"/>
    <mergeCell ref="D2477:E2477"/>
    <mergeCell ref="D2468:E2468"/>
    <mergeCell ref="D2469:E2469"/>
    <mergeCell ref="D2470:E2470"/>
    <mergeCell ref="D2471:E2471"/>
    <mergeCell ref="D2472:E2472"/>
    <mergeCell ref="D2461:E2461"/>
    <mergeCell ref="D2463:E2463"/>
    <mergeCell ref="D2465:E2465"/>
    <mergeCell ref="D2466:E2466"/>
    <mergeCell ref="D2467:E2467"/>
    <mergeCell ref="D2456:E2456"/>
    <mergeCell ref="D2457:E2457"/>
    <mergeCell ref="D2458:E2458"/>
    <mergeCell ref="D2459:E2459"/>
    <mergeCell ref="D2460:E2460"/>
    <mergeCell ref="D2450:P2450"/>
    <mergeCell ref="D2451:E2451"/>
    <mergeCell ref="D2452:P2452"/>
    <mergeCell ref="D2453:E2453"/>
    <mergeCell ref="D2454:E2454"/>
    <mergeCell ref="D2444:P2444"/>
    <mergeCell ref="D2445:E2445"/>
    <mergeCell ref="D2446:P2446"/>
    <mergeCell ref="D2447:E2447"/>
    <mergeCell ref="D2449:E2449"/>
    <mergeCell ref="D2439:E2439"/>
    <mergeCell ref="D2440:P2440"/>
    <mergeCell ref="D2441:E2441"/>
    <mergeCell ref="D2442:P2442"/>
    <mergeCell ref="D2443:E2443"/>
    <mergeCell ref="D2432:P2432"/>
    <mergeCell ref="D2433:E2433"/>
    <mergeCell ref="D2434:E2434"/>
    <mergeCell ref="D2435:E2435"/>
    <mergeCell ref="D2437:E2437"/>
    <mergeCell ref="D2427:P2427"/>
    <mergeCell ref="D2428:E2428"/>
    <mergeCell ref="D2429:E2429"/>
    <mergeCell ref="D2430:E2430"/>
    <mergeCell ref="D2431:E2431"/>
    <mergeCell ref="D2422:E2422"/>
    <mergeCell ref="D2423:P2423"/>
    <mergeCell ref="D2424:E2424"/>
    <mergeCell ref="D2425:P2425"/>
    <mergeCell ref="D2426:E2426"/>
    <mergeCell ref="D2417:E2417"/>
    <mergeCell ref="D2418:E2418"/>
    <mergeCell ref="D2419:P2419"/>
    <mergeCell ref="D2420:E2420"/>
    <mergeCell ref="D2421:P2421"/>
    <mergeCell ref="D2412:E2412"/>
    <mergeCell ref="D2413:P2413"/>
    <mergeCell ref="D2414:E2414"/>
    <mergeCell ref="D2415:E2415"/>
    <mergeCell ref="D2416:E2416"/>
    <mergeCell ref="D2407:P2407"/>
    <mergeCell ref="D2408:E2408"/>
    <mergeCell ref="D2409:E2409"/>
    <mergeCell ref="D2410:E2410"/>
    <mergeCell ref="D2411:E2411"/>
    <mergeCell ref="D2402:E2402"/>
    <mergeCell ref="D2403:P2403"/>
    <mergeCell ref="D2404:E2404"/>
    <mergeCell ref="D2405:P2405"/>
    <mergeCell ref="D2406:E2406"/>
    <mergeCell ref="D2397:E2397"/>
    <mergeCell ref="D2398:E2398"/>
    <mergeCell ref="D2399:E2399"/>
    <mergeCell ref="D2400:E2400"/>
    <mergeCell ref="D2401:P2401"/>
    <mergeCell ref="D2390:E2390"/>
    <mergeCell ref="D2391:E2391"/>
    <mergeCell ref="D2393:E2393"/>
    <mergeCell ref="D2395:E2395"/>
    <mergeCell ref="D2396:E2396"/>
    <mergeCell ref="D2385:E2385"/>
    <mergeCell ref="D2386:E2386"/>
    <mergeCell ref="D2387:E2387"/>
    <mergeCell ref="D2388:E2388"/>
    <mergeCell ref="D2389:E2389"/>
    <mergeCell ref="D2375:E2375"/>
    <mergeCell ref="D2378:E2378"/>
    <mergeCell ref="D2379:P2379"/>
    <mergeCell ref="D2381:E2381"/>
    <mergeCell ref="D2383:E2383"/>
    <mergeCell ref="D2366:E2366"/>
    <mergeCell ref="D2367:E2367"/>
    <mergeCell ref="D2369:E2369"/>
    <mergeCell ref="D2371:E2371"/>
    <mergeCell ref="D2373:E2373"/>
    <mergeCell ref="D2359:E2359"/>
    <mergeCell ref="D2360:E2360"/>
    <mergeCell ref="D2362:E2362"/>
    <mergeCell ref="D2364:E2364"/>
    <mergeCell ref="D2365:E2365"/>
    <mergeCell ref="D2354:P2354"/>
    <mergeCell ref="D2355:E2355"/>
    <mergeCell ref="D2356:E2356"/>
    <mergeCell ref="D2357:E2357"/>
    <mergeCell ref="D2358:E2358"/>
    <mergeCell ref="D2349:P2349"/>
    <mergeCell ref="D2350:E2350"/>
    <mergeCell ref="D2351:P2351"/>
    <mergeCell ref="D2352:E2352"/>
    <mergeCell ref="D2353:E2353"/>
    <mergeCell ref="D2344:E2344"/>
    <mergeCell ref="D2345:P2345"/>
    <mergeCell ref="D2346:E2346"/>
    <mergeCell ref="D2347:P2347"/>
    <mergeCell ref="D2348:E2348"/>
    <mergeCell ref="D2337:P2337"/>
    <mergeCell ref="D2338:E2338"/>
    <mergeCell ref="D2339:P2339"/>
    <mergeCell ref="D2340:E2340"/>
    <mergeCell ref="D2343:E2343"/>
    <mergeCell ref="D2332:E2332"/>
    <mergeCell ref="D2333:E2333"/>
    <mergeCell ref="D2334:E2334"/>
    <mergeCell ref="D2335:P2335"/>
    <mergeCell ref="D2336:E2336"/>
    <mergeCell ref="D2327:P2327"/>
    <mergeCell ref="D2328:E2328"/>
    <mergeCell ref="D2329:P2329"/>
    <mergeCell ref="D2330:E2330"/>
    <mergeCell ref="D2331:E2331"/>
    <mergeCell ref="D2322:E2322"/>
    <mergeCell ref="D2323:P2323"/>
    <mergeCell ref="D2324:E2324"/>
    <mergeCell ref="D2325:P2325"/>
    <mergeCell ref="D2326:E2326"/>
    <mergeCell ref="D2317:E2317"/>
    <mergeCell ref="D2318:E2318"/>
    <mergeCell ref="D2319:E2319"/>
    <mergeCell ref="D2320:E2320"/>
    <mergeCell ref="D2321:P2321"/>
    <mergeCell ref="D2309:E2309"/>
    <mergeCell ref="D2310:P2310"/>
    <mergeCell ref="D2311:E2311"/>
    <mergeCell ref="D2314:E2314"/>
    <mergeCell ref="D2315:E2315"/>
    <mergeCell ref="D2302:E2302"/>
    <mergeCell ref="D2303:E2303"/>
    <mergeCell ref="D2304:E2304"/>
    <mergeCell ref="D2305:P2305"/>
    <mergeCell ref="D2306:E2306"/>
    <mergeCell ref="D2288:E2288"/>
    <mergeCell ref="D2290:E2290"/>
    <mergeCell ref="D2292:E2292"/>
    <mergeCell ref="D2295:E2295"/>
    <mergeCell ref="D2301:E2301"/>
    <mergeCell ref="D2271:E2271"/>
    <mergeCell ref="D2280:E2280"/>
    <mergeCell ref="D2285:E2285"/>
    <mergeCell ref="D2286:E2286"/>
    <mergeCell ref="D2287:P2287"/>
    <mergeCell ref="D2260:E2260"/>
    <mergeCell ref="D2262:E2262"/>
    <mergeCell ref="D2264:E2264"/>
    <mergeCell ref="D2266:E2266"/>
    <mergeCell ref="D2268:E2268"/>
    <mergeCell ref="D2254:E2254"/>
    <mergeCell ref="D2256:E2256"/>
    <mergeCell ref="D2257:E2257"/>
    <mergeCell ref="D2258:E2258"/>
    <mergeCell ref="D2259:E2259"/>
    <mergeCell ref="D2239:E2239"/>
    <mergeCell ref="D2240:E2240"/>
    <mergeCell ref="D2242:E2242"/>
    <mergeCell ref="D2247:E2247"/>
    <mergeCell ref="D2249:E2249"/>
    <mergeCell ref="D2234:E2234"/>
    <mergeCell ref="D2235:E2235"/>
    <mergeCell ref="D2236:E2236"/>
    <mergeCell ref="D2237:E2237"/>
    <mergeCell ref="D2238:E2238"/>
    <mergeCell ref="D2076:P2076"/>
    <mergeCell ref="D2093:E2093"/>
    <mergeCell ref="D2096:E2096"/>
    <mergeCell ref="D2098:E2098"/>
    <mergeCell ref="D2100:E2100"/>
    <mergeCell ref="D2228:E2228"/>
    <mergeCell ref="D2229:E2229"/>
    <mergeCell ref="D2230:E2230"/>
    <mergeCell ref="D2231:E2231"/>
    <mergeCell ref="D2232:P2232"/>
    <mergeCell ref="D2151:E2151"/>
    <mergeCell ref="D2221:E2221"/>
    <mergeCell ref="D2223:E2223"/>
    <mergeCell ref="D2226:E2226"/>
    <mergeCell ref="D2227:E2227"/>
    <mergeCell ref="D2124:E2124"/>
    <mergeCell ref="D2144:E2144"/>
    <mergeCell ref="D2146:E2146"/>
    <mergeCell ref="D2149:E2149"/>
    <mergeCell ref="D2150:E2150"/>
    <mergeCell ref="D2103:E2103"/>
    <mergeCell ref="D2104:E2104"/>
    <mergeCell ref="D2062:E2062"/>
    <mergeCell ref="D2021:E2021"/>
    <mergeCell ref="D2029:E2029"/>
    <mergeCell ref="D2032:E2032"/>
    <mergeCell ref="D2033:E2033"/>
    <mergeCell ref="D2034:E2034"/>
    <mergeCell ref="D2000:E2000"/>
    <mergeCell ref="D2001:E2001"/>
    <mergeCell ref="D2003:E2003"/>
    <mergeCell ref="D2011:E2011"/>
    <mergeCell ref="D2018:E2018"/>
    <mergeCell ref="D2045:E2045"/>
    <mergeCell ref="D2054:E2054"/>
    <mergeCell ref="D2057:E2057"/>
    <mergeCell ref="D2067:E2067"/>
    <mergeCell ref="D2071:E2071"/>
    <mergeCell ref="D2075:E2075"/>
    <mergeCell ref="D1985:E1985"/>
    <mergeCell ref="D1988:E1988"/>
    <mergeCell ref="D1991:E1991"/>
    <mergeCell ref="D1994:E1994"/>
    <mergeCell ref="D1999:E1999"/>
    <mergeCell ref="D1969:E1969"/>
    <mergeCell ref="D1973:E1973"/>
    <mergeCell ref="D1976:E1976"/>
    <mergeCell ref="D1979:E1979"/>
    <mergeCell ref="D1982:E1982"/>
    <mergeCell ref="D1954:E1954"/>
    <mergeCell ref="D1956:E1956"/>
    <mergeCell ref="D1957:E1957"/>
    <mergeCell ref="D1962:E1962"/>
    <mergeCell ref="D1966:E1966"/>
    <mergeCell ref="D1938:E1938"/>
    <mergeCell ref="D1939:P1939"/>
    <mergeCell ref="D1948:E1948"/>
    <mergeCell ref="D1950:E1950"/>
    <mergeCell ref="D1952:E1952"/>
    <mergeCell ref="D1997:E1997"/>
    <mergeCell ref="D1998:P1998"/>
    <mergeCell ref="D1933:P1933"/>
    <mergeCell ref="D1934:E1934"/>
    <mergeCell ref="D1935:P1935"/>
    <mergeCell ref="D1936:E1936"/>
    <mergeCell ref="D1937:P1937"/>
    <mergeCell ref="D1928:E1928"/>
    <mergeCell ref="D1929:P1929"/>
    <mergeCell ref="D1930:E1930"/>
    <mergeCell ref="D1931:P1931"/>
    <mergeCell ref="D1932:E1932"/>
    <mergeCell ref="D1923:E1923"/>
    <mergeCell ref="D1924:E1924"/>
    <mergeCell ref="D1925:P1925"/>
    <mergeCell ref="D1926:E1926"/>
    <mergeCell ref="D1927:P1927"/>
    <mergeCell ref="D1917:P1917"/>
    <mergeCell ref="D1918:E1918"/>
    <mergeCell ref="D1919:P1919"/>
    <mergeCell ref="D1921:E1921"/>
    <mergeCell ref="D1922:P1922"/>
    <mergeCell ref="D1920:E1920"/>
    <mergeCell ref="D1912:E1912"/>
    <mergeCell ref="D1913:E1913"/>
    <mergeCell ref="D1914:E1914"/>
    <mergeCell ref="D1915:E1915"/>
    <mergeCell ref="D1916:E1916"/>
    <mergeCell ref="D1907:E1907"/>
    <mergeCell ref="D1908:E1908"/>
    <mergeCell ref="D1909:E1909"/>
    <mergeCell ref="D1910:E1910"/>
    <mergeCell ref="D1911:E1911"/>
    <mergeCell ref="D1902:E1902"/>
    <mergeCell ref="D1903:E1903"/>
    <mergeCell ref="D1904:E1904"/>
    <mergeCell ref="D1905:E1905"/>
    <mergeCell ref="D1906:E1906"/>
    <mergeCell ref="D1897:E1897"/>
    <mergeCell ref="D1898:E1898"/>
    <mergeCell ref="D1899:E1899"/>
    <mergeCell ref="D1900:E1900"/>
    <mergeCell ref="D1901:E1901"/>
    <mergeCell ref="D1892:E1892"/>
    <mergeCell ref="D1893:E1893"/>
    <mergeCell ref="D1894:E1894"/>
    <mergeCell ref="D1895:E1895"/>
    <mergeCell ref="D1896:E1896"/>
    <mergeCell ref="D1887:P1887"/>
    <mergeCell ref="D1888:E1888"/>
    <mergeCell ref="D1889:P1889"/>
    <mergeCell ref="D1890:E1890"/>
    <mergeCell ref="D1891:P1891"/>
    <mergeCell ref="D1882:E1882"/>
    <mergeCell ref="D1883:P1883"/>
    <mergeCell ref="D1884:E1884"/>
    <mergeCell ref="D1885:P1885"/>
    <mergeCell ref="D1886:E1886"/>
    <mergeCell ref="D1877:P1877"/>
    <mergeCell ref="D1878:E1878"/>
    <mergeCell ref="D1879:P1879"/>
    <mergeCell ref="D1880:E1880"/>
    <mergeCell ref="D1881:P1881"/>
    <mergeCell ref="D1872:E1872"/>
    <mergeCell ref="D1873:P1873"/>
    <mergeCell ref="D1874:E1874"/>
    <mergeCell ref="D1875:P1875"/>
    <mergeCell ref="D1876:E1876"/>
    <mergeCell ref="D1867:P1867"/>
    <mergeCell ref="D1868:E1868"/>
    <mergeCell ref="D1869:P1869"/>
    <mergeCell ref="D1870:E1870"/>
    <mergeCell ref="D1871:P1871"/>
    <mergeCell ref="D1862:E1862"/>
    <mergeCell ref="D1863:E1863"/>
    <mergeCell ref="D1864:E1864"/>
    <mergeCell ref="D1865:P1865"/>
    <mergeCell ref="D1866:E1866"/>
    <mergeCell ref="D1857:E1857"/>
    <mergeCell ref="D1858:E1858"/>
    <mergeCell ref="D1859:E1859"/>
    <mergeCell ref="D1860:E1860"/>
    <mergeCell ref="D1861:E1861"/>
    <mergeCell ref="D1852:E1852"/>
    <mergeCell ref="D1853:E1853"/>
    <mergeCell ref="D1854:E1854"/>
    <mergeCell ref="D1855:E1855"/>
    <mergeCell ref="D1856:E1856"/>
    <mergeCell ref="D1847:E1847"/>
    <mergeCell ref="D1848:E1848"/>
    <mergeCell ref="D1849:E1849"/>
    <mergeCell ref="D1850:E1850"/>
    <mergeCell ref="D1851:E1851"/>
    <mergeCell ref="D1842:E1842"/>
    <mergeCell ref="D1843:E1843"/>
    <mergeCell ref="D1844:E1844"/>
    <mergeCell ref="D1845:E1845"/>
    <mergeCell ref="D1846:E1846"/>
    <mergeCell ref="D1837:E1837"/>
    <mergeCell ref="D1838:E1838"/>
    <mergeCell ref="D1839:E1839"/>
    <mergeCell ref="D1840:E1840"/>
    <mergeCell ref="D1841:E1841"/>
    <mergeCell ref="D1832:E1832"/>
    <mergeCell ref="D1833:E1833"/>
    <mergeCell ref="D1834:E1834"/>
    <mergeCell ref="D1835:E1835"/>
    <mergeCell ref="D1836:E1836"/>
    <mergeCell ref="D1827:E1827"/>
    <mergeCell ref="D1828:E1828"/>
    <mergeCell ref="D1829:E1829"/>
    <mergeCell ref="D1830:E1830"/>
    <mergeCell ref="D1831:E1831"/>
    <mergeCell ref="D1822:E1822"/>
    <mergeCell ref="D1823:E1823"/>
    <mergeCell ref="D1824:E1824"/>
    <mergeCell ref="D1825:E1825"/>
    <mergeCell ref="D1826:E1826"/>
    <mergeCell ref="D1817:E1817"/>
    <mergeCell ref="D1818:E1818"/>
    <mergeCell ref="D1819:E1819"/>
    <mergeCell ref="D1820:E1820"/>
    <mergeCell ref="D1821:E1821"/>
    <mergeCell ref="D1802:E1802"/>
    <mergeCell ref="D1805:E1805"/>
    <mergeCell ref="D1808:E1808"/>
    <mergeCell ref="D1811:E1811"/>
    <mergeCell ref="D1814:E1814"/>
    <mergeCell ref="D1774:P1774"/>
    <mergeCell ref="D1781:E1781"/>
    <mergeCell ref="D1782:E1782"/>
    <mergeCell ref="D1783:E1783"/>
    <mergeCell ref="D1799:E1799"/>
    <mergeCell ref="D1769:E1769"/>
    <mergeCell ref="D1770:E1770"/>
    <mergeCell ref="D1771:E1771"/>
    <mergeCell ref="D1772:E1772"/>
    <mergeCell ref="D1773:E1773"/>
    <mergeCell ref="D1764:E1764"/>
    <mergeCell ref="D1765:E1765"/>
    <mergeCell ref="D1766:E1766"/>
    <mergeCell ref="D1767:E1767"/>
    <mergeCell ref="D1768:E1768"/>
    <mergeCell ref="D1759:E1759"/>
    <mergeCell ref="D1760:E1760"/>
    <mergeCell ref="D1761:E1761"/>
    <mergeCell ref="D1762:E1762"/>
    <mergeCell ref="D1763:E1763"/>
    <mergeCell ref="D1754:E1754"/>
    <mergeCell ref="D1755:E1755"/>
    <mergeCell ref="D1756:E1756"/>
    <mergeCell ref="D1757:E1757"/>
    <mergeCell ref="D1758:E1758"/>
    <mergeCell ref="D1749:E1749"/>
    <mergeCell ref="D1750:E1750"/>
    <mergeCell ref="D1751:E1751"/>
    <mergeCell ref="D1752:E1752"/>
    <mergeCell ref="D1753:E1753"/>
    <mergeCell ref="D1743:E1743"/>
    <mergeCell ref="D1745:E1745"/>
    <mergeCell ref="D1746:E1746"/>
    <mergeCell ref="D1747:E1747"/>
    <mergeCell ref="D1748:E1748"/>
    <mergeCell ref="D1731:E1731"/>
    <mergeCell ref="D1736:E1736"/>
    <mergeCell ref="D1737:E1737"/>
    <mergeCell ref="D1739:E1739"/>
    <mergeCell ref="D1741:E1741"/>
    <mergeCell ref="D1726:E1726"/>
    <mergeCell ref="D1727:E1727"/>
    <mergeCell ref="D1728:E1728"/>
    <mergeCell ref="D1729:E1729"/>
    <mergeCell ref="D1730:E1730"/>
    <mergeCell ref="D1721:E1721"/>
    <mergeCell ref="D1722:E1722"/>
    <mergeCell ref="D1723:E1723"/>
    <mergeCell ref="D1724:E1724"/>
    <mergeCell ref="D1725:E1725"/>
    <mergeCell ref="D1716:E1716"/>
    <mergeCell ref="D1717:E1717"/>
    <mergeCell ref="D1718:E1718"/>
    <mergeCell ref="D1719:E1719"/>
    <mergeCell ref="D1720:E1720"/>
    <mergeCell ref="D1711:E1711"/>
    <mergeCell ref="D1712:E1712"/>
    <mergeCell ref="D1713:E1713"/>
    <mergeCell ref="D1714:E1714"/>
    <mergeCell ref="D1715:E1715"/>
    <mergeCell ref="D1706:E1706"/>
    <mergeCell ref="D1707:E1707"/>
    <mergeCell ref="D1708:E1708"/>
    <mergeCell ref="D1709:E1709"/>
    <mergeCell ref="D1710:E1710"/>
    <mergeCell ref="D1701:E1701"/>
    <mergeCell ref="D1702:E1702"/>
    <mergeCell ref="D1703:E1703"/>
    <mergeCell ref="D1704:E1704"/>
    <mergeCell ref="D1705:E1705"/>
    <mergeCell ref="D1694:E1694"/>
    <mergeCell ref="D1696:E1696"/>
    <mergeCell ref="D1698:E1698"/>
    <mergeCell ref="D1699:E1699"/>
    <mergeCell ref="D1700:E1700"/>
    <mergeCell ref="D1688:E1688"/>
    <mergeCell ref="D1689:P1689"/>
    <mergeCell ref="D1690:E1690"/>
    <mergeCell ref="D1691:P1691"/>
    <mergeCell ref="D1692:E1692"/>
    <mergeCell ref="D1683:P1683"/>
    <mergeCell ref="D1684:E1684"/>
    <mergeCell ref="D1685:P1685"/>
    <mergeCell ref="D1686:E1686"/>
    <mergeCell ref="D1687:P1687"/>
    <mergeCell ref="D1678:E1678"/>
    <mergeCell ref="D1679:E1679"/>
    <mergeCell ref="D1680:E1680"/>
    <mergeCell ref="D1681:E1681"/>
    <mergeCell ref="D1682:E1682"/>
    <mergeCell ref="D1673:E1673"/>
    <mergeCell ref="D1674:E1674"/>
    <mergeCell ref="D1675:E1675"/>
    <mergeCell ref="D1676:E1676"/>
    <mergeCell ref="D1677:E1677"/>
    <mergeCell ref="D1668:E1668"/>
    <mergeCell ref="D1669:E1669"/>
    <mergeCell ref="D1670:P1670"/>
    <mergeCell ref="D1671:E1671"/>
    <mergeCell ref="D1672:E1672"/>
    <mergeCell ref="D1663:E1663"/>
    <mergeCell ref="D1664:E1664"/>
    <mergeCell ref="D1665:E1665"/>
    <mergeCell ref="D1666:E1666"/>
    <mergeCell ref="D1667:E1667"/>
    <mergeCell ref="D1658:E1658"/>
    <mergeCell ref="D1659:E1659"/>
    <mergeCell ref="D1660:E1660"/>
    <mergeCell ref="D1661:E1661"/>
    <mergeCell ref="D1662:E1662"/>
    <mergeCell ref="D1653:E1653"/>
    <mergeCell ref="D1654:E1654"/>
    <mergeCell ref="D1655:E1655"/>
    <mergeCell ref="D1656:E1656"/>
    <mergeCell ref="D1657:E1657"/>
    <mergeCell ref="D1648:E1648"/>
    <mergeCell ref="D1649:E1649"/>
    <mergeCell ref="D1650:E1650"/>
    <mergeCell ref="D1651:E1651"/>
    <mergeCell ref="D1652:E1652"/>
    <mergeCell ref="D1643:E1643"/>
    <mergeCell ref="D1644:E1644"/>
    <mergeCell ref="D1645:E1645"/>
    <mergeCell ref="D1646:E1646"/>
    <mergeCell ref="D1647:E1647"/>
    <mergeCell ref="D1638:E1638"/>
    <mergeCell ref="D1639:E1639"/>
    <mergeCell ref="D1640:E1640"/>
    <mergeCell ref="D1641:E1641"/>
    <mergeCell ref="D1642:E1642"/>
    <mergeCell ref="D1633:E1633"/>
    <mergeCell ref="D1634:E1634"/>
    <mergeCell ref="D1635:E1635"/>
    <mergeCell ref="D1636:E1636"/>
    <mergeCell ref="D1637:E1637"/>
    <mergeCell ref="D1628:E1628"/>
    <mergeCell ref="D1629:E1629"/>
    <mergeCell ref="D1630:E1630"/>
    <mergeCell ref="D1631:E1631"/>
    <mergeCell ref="D1632:E1632"/>
    <mergeCell ref="D1623:E1623"/>
    <mergeCell ref="D1624:E1624"/>
    <mergeCell ref="D1625:E1625"/>
    <mergeCell ref="D1626:E1626"/>
    <mergeCell ref="D1627:E1627"/>
    <mergeCell ref="D1618:E1618"/>
    <mergeCell ref="D1619:E1619"/>
    <mergeCell ref="D1620:E1620"/>
    <mergeCell ref="D1621:E1621"/>
    <mergeCell ref="D1622:E1622"/>
    <mergeCell ref="D1613:E1613"/>
    <mergeCell ref="D1614:E1614"/>
    <mergeCell ref="D1615:E1615"/>
    <mergeCell ref="D1616:E1616"/>
    <mergeCell ref="D1617:E1617"/>
    <mergeCell ref="D1608:E1608"/>
    <mergeCell ref="D1609:E1609"/>
    <mergeCell ref="D1610:E1610"/>
    <mergeCell ref="D1611:E1611"/>
    <mergeCell ref="D1612:E1612"/>
    <mergeCell ref="D1603:E1603"/>
    <mergeCell ref="D1604:E1604"/>
    <mergeCell ref="D1605:E1605"/>
    <mergeCell ref="D1606:E1606"/>
    <mergeCell ref="D1607:E1607"/>
    <mergeCell ref="D1598:E1598"/>
    <mergeCell ref="D1599:E1599"/>
    <mergeCell ref="D1600:E1600"/>
    <mergeCell ref="D1601:E1601"/>
    <mergeCell ref="D1602:E1602"/>
    <mergeCell ref="D1593:E1593"/>
    <mergeCell ref="D1594:E1594"/>
    <mergeCell ref="D1595:E1595"/>
    <mergeCell ref="D1596:E1596"/>
    <mergeCell ref="D1597:E1597"/>
    <mergeCell ref="D1588:E1588"/>
    <mergeCell ref="D1589:E1589"/>
    <mergeCell ref="D1590:E1590"/>
    <mergeCell ref="D1591:E1591"/>
    <mergeCell ref="D1592:E1592"/>
    <mergeCell ref="D1583:E1583"/>
    <mergeCell ref="D1584:E1584"/>
    <mergeCell ref="D1585:E1585"/>
    <mergeCell ref="D1586:E1586"/>
    <mergeCell ref="D1587:E1587"/>
    <mergeCell ref="D1578:E1578"/>
    <mergeCell ref="D1579:E1579"/>
    <mergeCell ref="D1580:E1580"/>
    <mergeCell ref="D1581:E1581"/>
    <mergeCell ref="D1582:E1582"/>
    <mergeCell ref="D1573:E1573"/>
    <mergeCell ref="D1574:E1574"/>
    <mergeCell ref="D1575:E1575"/>
    <mergeCell ref="D1576:E1576"/>
    <mergeCell ref="D1577:E1577"/>
    <mergeCell ref="D1492:E1492"/>
    <mergeCell ref="D1395:E1395"/>
    <mergeCell ref="D1396:P1396"/>
    <mergeCell ref="D1568:E1568"/>
    <mergeCell ref="D1569:E1569"/>
    <mergeCell ref="D1570:E1570"/>
    <mergeCell ref="D1571:E1571"/>
    <mergeCell ref="D1572:E1572"/>
    <mergeCell ref="D1563:E1563"/>
    <mergeCell ref="D1564:E1564"/>
    <mergeCell ref="D1565:E1565"/>
    <mergeCell ref="D1566:E1566"/>
    <mergeCell ref="D1567:E1567"/>
    <mergeCell ref="D1558:E1558"/>
    <mergeCell ref="D1559:E1559"/>
    <mergeCell ref="D1560:E1560"/>
    <mergeCell ref="D1561:E1561"/>
    <mergeCell ref="D1562:E1562"/>
    <mergeCell ref="D1553:E1553"/>
    <mergeCell ref="D1554:E1554"/>
    <mergeCell ref="D1555:E1555"/>
    <mergeCell ref="D1556:E1556"/>
    <mergeCell ref="D1557:E1557"/>
    <mergeCell ref="D1383:P1383"/>
    <mergeCell ref="D1386:E1386"/>
    <mergeCell ref="D1387:E1387"/>
    <mergeCell ref="D1388:E1388"/>
    <mergeCell ref="D1392:E1392"/>
    <mergeCell ref="D1376:E1376"/>
    <mergeCell ref="D1377:E1377"/>
    <mergeCell ref="D1380:E1380"/>
    <mergeCell ref="D1381:P1381"/>
    <mergeCell ref="D1382:E1382"/>
    <mergeCell ref="D1344:E1344"/>
    <mergeCell ref="D1355:E1355"/>
    <mergeCell ref="D1356:P1356"/>
    <mergeCell ref="D1360:E1360"/>
    <mergeCell ref="D1361:P1361"/>
    <mergeCell ref="D1315:P1315"/>
    <mergeCell ref="D1327:E1327"/>
    <mergeCell ref="D1328:P1328"/>
    <mergeCell ref="D1339:E1339"/>
    <mergeCell ref="D1340:P1340"/>
    <mergeCell ref="D1311:E1311"/>
    <mergeCell ref="D1314:E1314"/>
    <mergeCell ref="D1266:E1266"/>
    <mergeCell ref="D1268:E1268"/>
    <mergeCell ref="D1269:E1269"/>
    <mergeCell ref="D1270:E1270"/>
    <mergeCell ref="D1271:P1271"/>
    <mergeCell ref="D1259:E1259"/>
    <mergeCell ref="D1262:E1262"/>
    <mergeCell ref="D1263:P1263"/>
    <mergeCell ref="D1264:E1264"/>
    <mergeCell ref="D1265:P1265"/>
    <mergeCell ref="D1242:E1242"/>
    <mergeCell ref="D1243:P1243"/>
    <mergeCell ref="D1254:E1254"/>
    <mergeCell ref="D1255:P1255"/>
    <mergeCell ref="D1256:E1256"/>
    <mergeCell ref="D1193:P1193"/>
    <mergeCell ref="D1199:E1199"/>
    <mergeCell ref="D1202:E1202"/>
    <mergeCell ref="D1205:E1205"/>
    <mergeCell ref="D1178:E1178"/>
    <mergeCell ref="D1179:E1179"/>
    <mergeCell ref="D1180:P1180"/>
    <mergeCell ref="D1185:E1185"/>
    <mergeCell ref="D1186:P1186"/>
    <mergeCell ref="D1173:E1173"/>
    <mergeCell ref="D1174:E1174"/>
    <mergeCell ref="D1175:E1175"/>
    <mergeCell ref="D1176:E1176"/>
    <mergeCell ref="D1177:E1177"/>
    <mergeCell ref="D1282:E1282"/>
    <mergeCell ref="D1283:P1283"/>
    <mergeCell ref="D1297:E1297"/>
    <mergeCell ref="D1239:E1239"/>
    <mergeCell ref="D1192:E1192"/>
    <mergeCell ref="D998:E998"/>
    <mergeCell ref="D999:E999"/>
    <mergeCell ref="D1007:E1007"/>
    <mergeCell ref="D1022:E1022"/>
    <mergeCell ref="D1037:E1037"/>
    <mergeCell ref="D1048:E1048"/>
    <mergeCell ref="D1049:E1049"/>
    <mergeCell ref="D1050:E1050"/>
    <mergeCell ref="D1058:E1058"/>
    <mergeCell ref="D1062:E1062"/>
    <mergeCell ref="D1063:E1063"/>
    <mergeCell ref="D1072:E1072"/>
    <mergeCell ref="D1074:E1074"/>
    <mergeCell ref="D1081:E1081"/>
    <mergeCell ref="D1092:E1092"/>
    <mergeCell ref="D1168:E1168"/>
    <mergeCell ref="D1169:P1169"/>
    <mergeCell ref="D1158:E1158"/>
    <mergeCell ref="D1160:E1160"/>
    <mergeCell ref="D1161:E1161"/>
    <mergeCell ref="D1162:E1162"/>
    <mergeCell ref="D1165:E1165"/>
    <mergeCell ref="D1138:E1138"/>
    <mergeCell ref="D1145:E1145"/>
    <mergeCell ref="D1148:E1148"/>
    <mergeCell ref="D1151:E1151"/>
    <mergeCell ref="D1154:E1154"/>
    <mergeCell ref="D1122:P1122"/>
    <mergeCell ref="D1133:E1133"/>
    <mergeCell ref="D1134:E1134"/>
    <mergeCell ref="D1136:E1136"/>
    <mergeCell ref="D1137:E1137"/>
    <mergeCell ref="D975:E975"/>
    <mergeCell ref="D976:P976"/>
    <mergeCell ref="D980:E980"/>
    <mergeCell ref="D981:P981"/>
    <mergeCell ref="D993:E993"/>
    <mergeCell ref="D963:P963"/>
    <mergeCell ref="D966:E966"/>
    <mergeCell ref="D967:P967"/>
    <mergeCell ref="D970:E970"/>
    <mergeCell ref="D971:P971"/>
    <mergeCell ref="D954:E954"/>
    <mergeCell ref="D955:P955"/>
    <mergeCell ref="D958:E958"/>
    <mergeCell ref="D959:P959"/>
    <mergeCell ref="D962:E962"/>
    <mergeCell ref="D938:P938"/>
    <mergeCell ref="D941:E941"/>
    <mergeCell ref="D942:P942"/>
    <mergeCell ref="D945:E945"/>
    <mergeCell ref="D946:P946"/>
    <mergeCell ref="D906:E906"/>
    <mergeCell ref="D907:P907"/>
    <mergeCell ref="D921:E921"/>
    <mergeCell ref="D922:P922"/>
    <mergeCell ref="D937:E937"/>
    <mergeCell ref="D896:E896"/>
    <mergeCell ref="D899:E899"/>
    <mergeCell ref="D900:P900"/>
    <mergeCell ref="D903:E903"/>
    <mergeCell ref="D904:P904"/>
    <mergeCell ref="D882:E882"/>
    <mergeCell ref="D883:P883"/>
    <mergeCell ref="D886:E886"/>
    <mergeCell ref="D887:P887"/>
    <mergeCell ref="D889:E889"/>
    <mergeCell ref="D862:E862"/>
    <mergeCell ref="D863:P863"/>
    <mergeCell ref="D867:E867"/>
    <mergeCell ref="D868:P868"/>
    <mergeCell ref="D873:E873"/>
    <mergeCell ref="D844:E844"/>
    <mergeCell ref="D845:P845"/>
    <mergeCell ref="D859:E859"/>
    <mergeCell ref="D860:E860"/>
    <mergeCell ref="D861:E861"/>
    <mergeCell ref="D698:P698"/>
    <mergeCell ref="D701:E701"/>
    <mergeCell ref="D702:P702"/>
    <mergeCell ref="D772:E772"/>
    <mergeCell ref="D773:P773"/>
    <mergeCell ref="D690:E690"/>
    <mergeCell ref="D691:E691"/>
    <mergeCell ref="D693:E693"/>
    <mergeCell ref="D694:P694"/>
    <mergeCell ref="D697:E697"/>
    <mergeCell ref="D678:E678"/>
    <mergeCell ref="D681:E681"/>
    <mergeCell ref="D684:E684"/>
    <mergeCell ref="D685:E685"/>
    <mergeCell ref="D687:E687"/>
    <mergeCell ref="D658:E658"/>
    <mergeCell ref="D664:E664"/>
    <mergeCell ref="D665:E665"/>
    <mergeCell ref="D666:P666"/>
    <mergeCell ref="D677:E677"/>
    <mergeCell ref="D641:P641"/>
    <mergeCell ref="D650:E650"/>
    <mergeCell ref="D651:E651"/>
    <mergeCell ref="D654:E654"/>
    <mergeCell ref="D657:E657"/>
    <mergeCell ref="D623:E623"/>
    <mergeCell ref="D624:E624"/>
    <mergeCell ref="D629:E629"/>
    <mergeCell ref="D639:E639"/>
    <mergeCell ref="D640:E640"/>
    <mergeCell ref="D537:P537"/>
    <mergeCell ref="D542:E542"/>
    <mergeCell ref="D543:P543"/>
    <mergeCell ref="D548:E548"/>
    <mergeCell ref="D584:E584"/>
    <mergeCell ref="D528:E528"/>
    <mergeCell ref="D529:P529"/>
    <mergeCell ref="D532:E532"/>
    <mergeCell ref="D533:P533"/>
    <mergeCell ref="D536:E536"/>
    <mergeCell ref="D515:E515"/>
    <mergeCell ref="D520:E520"/>
    <mergeCell ref="D525:E525"/>
    <mergeCell ref="D526:E526"/>
    <mergeCell ref="D527:E527"/>
    <mergeCell ref="D481:E481"/>
    <mergeCell ref="D490:E490"/>
    <mergeCell ref="D504:E504"/>
    <mergeCell ref="D505:E505"/>
    <mergeCell ref="D510:E510"/>
    <mergeCell ref="D460:E460"/>
    <mergeCell ref="D467:E467"/>
    <mergeCell ref="D468:E468"/>
    <mergeCell ref="D469:E469"/>
    <mergeCell ref="D475:E475"/>
    <mergeCell ref="D444:P444"/>
    <mergeCell ref="D447:E447"/>
    <mergeCell ref="D450:E450"/>
    <mergeCell ref="D452:E452"/>
    <mergeCell ref="D453:P453"/>
    <mergeCell ref="D413:E413"/>
    <mergeCell ref="D420:E420"/>
    <mergeCell ref="D429:E429"/>
    <mergeCell ref="D440:E440"/>
    <mergeCell ref="D443:E443"/>
    <mergeCell ref="D364:E364"/>
    <mergeCell ref="D384:E384"/>
    <mergeCell ref="D404:E404"/>
    <mergeCell ref="D405:E405"/>
    <mergeCell ref="D406:E406"/>
    <mergeCell ref="D354:P354"/>
    <mergeCell ref="D357:E357"/>
    <mergeCell ref="D358:P358"/>
    <mergeCell ref="D361:E361"/>
    <mergeCell ref="D362:E362"/>
    <mergeCell ref="D343:E343"/>
    <mergeCell ref="D344:P344"/>
    <mergeCell ref="D349:E349"/>
    <mergeCell ref="D350:P350"/>
    <mergeCell ref="D353:E353"/>
    <mergeCell ref="D298:E298"/>
    <mergeCell ref="D309:E309"/>
    <mergeCell ref="D336:E336"/>
    <mergeCell ref="D337:E337"/>
    <mergeCell ref="D338:P338"/>
    <mergeCell ref="D277:E277"/>
    <mergeCell ref="D278:E278"/>
    <mergeCell ref="D279:E279"/>
    <mergeCell ref="D284:E284"/>
    <mergeCell ref="D285:P285"/>
    <mergeCell ref="D272:E272"/>
    <mergeCell ref="D273:E273"/>
    <mergeCell ref="D274:E274"/>
    <mergeCell ref="D275:P275"/>
    <mergeCell ref="D276:E276"/>
    <mergeCell ref="D247:E247"/>
    <mergeCell ref="D253:E253"/>
    <mergeCell ref="D269:E269"/>
    <mergeCell ref="D270:E270"/>
    <mergeCell ref="D271:P271"/>
    <mergeCell ref="D223:E223"/>
    <mergeCell ref="D224:P224"/>
    <mergeCell ref="D229:E229"/>
    <mergeCell ref="D230:P230"/>
    <mergeCell ref="D236:E236"/>
    <mergeCell ref="D212:E212"/>
    <mergeCell ref="D213:E213"/>
    <mergeCell ref="D214:E214"/>
    <mergeCell ref="D217:E217"/>
    <mergeCell ref="D218:P218"/>
    <mergeCell ref="D202:E202"/>
    <mergeCell ref="D205:E205"/>
    <mergeCell ref="D206:E206"/>
    <mergeCell ref="D209:E209"/>
    <mergeCell ref="D210:E210"/>
    <mergeCell ref="D181:P181"/>
    <mergeCell ref="D192:E192"/>
    <mergeCell ref="D193:P193"/>
    <mergeCell ref="D199:E199"/>
    <mergeCell ref="D151:E151"/>
    <mergeCell ref="D172:E172"/>
    <mergeCell ref="D173:P173"/>
    <mergeCell ref="D176:E176"/>
    <mergeCell ref="D177:P177"/>
    <mergeCell ref="D124:P124"/>
    <mergeCell ref="D127:E127"/>
    <mergeCell ref="D128:E128"/>
    <mergeCell ref="D130:E130"/>
    <mergeCell ref="D136:E136"/>
    <mergeCell ref="D113:P113"/>
    <mergeCell ref="D119:E119"/>
    <mergeCell ref="D120:E120"/>
    <mergeCell ref="D121:E121"/>
    <mergeCell ref="D123:E123"/>
    <mergeCell ref="D90:E90"/>
    <mergeCell ref="D91:E91"/>
    <mergeCell ref="D111:E111"/>
    <mergeCell ref="D112:E112"/>
    <mergeCell ref="D75:E75"/>
    <mergeCell ref="D76:E76"/>
    <mergeCell ref="D81:E81"/>
    <mergeCell ref="D83:E83"/>
    <mergeCell ref="D85:E85"/>
    <mergeCell ref="D14:E14"/>
    <mergeCell ref="D15:E15"/>
    <mergeCell ref="D65:E65"/>
    <mergeCell ref="D67:E67"/>
    <mergeCell ref="D73:E73"/>
    <mergeCell ref="D11:E11"/>
    <mergeCell ref="J10:L10"/>
    <mergeCell ref="D180:E180"/>
    <mergeCell ref="D86:E86"/>
    <mergeCell ref="N10:O10"/>
    <mergeCell ref="D12:E12"/>
    <mergeCell ref="D13:E13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1103:E1103"/>
    <mergeCell ref="D1104:P1104"/>
    <mergeCell ref="D1099:E1099"/>
    <mergeCell ref="D2102:E2102"/>
    <mergeCell ref="D1415:E1415"/>
    <mergeCell ref="D1423:E1423"/>
    <mergeCell ref="D1430:E1430"/>
    <mergeCell ref="D1439:E1439"/>
    <mergeCell ref="D1447:E1447"/>
    <mergeCell ref="D1452:E1452"/>
    <mergeCell ref="D1455:E1455"/>
    <mergeCell ref="D1458:E1458"/>
    <mergeCell ref="D1473:E1473"/>
    <mergeCell ref="D1488:E1488"/>
    <mergeCell ref="D1497:E1497"/>
    <mergeCell ref="D1498:P1498"/>
    <mergeCell ref="D1505:E1505"/>
    <mergeCell ref="D1517:E1517"/>
    <mergeCell ref="D1529:E1529"/>
    <mergeCell ref="D1530:P1530"/>
    <mergeCell ref="D1552:E1552"/>
    <mergeCell ref="D1105:E1105"/>
    <mergeCell ref="D1106:E1106"/>
    <mergeCell ref="D1107:P1107"/>
    <mergeCell ref="D1121:E1121"/>
    <mergeCell ref="D1170:E1170"/>
    <mergeCell ref="D1171:E1171"/>
    <mergeCell ref="D1172:E1172"/>
    <mergeCell ref="D1206:P1206"/>
    <mergeCell ref="D1216:E1216"/>
    <mergeCell ref="D1217:P1217"/>
    <mergeCell ref="D1228:E1228"/>
  </mergeCells>
  <pageMargins left="0.393999993801117" right="0.393999993801117" top="0.59100002050399802" bottom="0.59100002050399802" header="0" footer="0"/>
  <pageSetup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12" t="s">
        <v>4154</v>
      </c>
      <c r="B1" s="113"/>
      <c r="C1" s="113"/>
      <c r="D1" s="113"/>
      <c r="E1" s="113"/>
      <c r="F1" s="113"/>
      <c r="G1" s="113"/>
      <c r="H1" s="113"/>
      <c r="I1" s="113"/>
    </row>
    <row r="2" spans="1:9" x14ac:dyDescent="0.25">
      <c r="A2" s="114" t="s">
        <v>1</v>
      </c>
      <c r="B2" s="115"/>
      <c r="C2" s="125" t="str">
        <f>'Soupis dodávek a prací'!D2</f>
        <v>Nové stanovište ZZS SK Benešov</v>
      </c>
      <c r="D2" s="126"/>
      <c r="E2" s="119" t="s">
        <v>5</v>
      </c>
      <c r="F2" s="119" t="str">
        <f>'Soupis dodávek a prací'!J2</f>
        <v>Zdravotnická záchraná služba Stredoceského kraje</v>
      </c>
      <c r="G2" s="115"/>
      <c r="H2" s="119" t="s">
        <v>4226</v>
      </c>
      <c r="I2" s="185" t="s">
        <v>54</v>
      </c>
    </row>
    <row r="3" spans="1:9" ht="15" customHeight="1" x14ac:dyDescent="0.25">
      <c r="A3" s="116"/>
      <c r="B3" s="117"/>
      <c r="C3" s="127"/>
      <c r="D3" s="127"/>
      <c r="E3" s="117"/>
      <c r="F3" s="117"/>
      <c r="G3" s="117"/>
      <c r="H3" s="117"/>
      <c r="I3" s="124"/>
    </row>
    <row r="4" spans="1:9" x14ac:dyDescent="0.25">
      <c r="A4" s="118" t="s">
        <v>7</v>
      </c>
      <c r="B4" s="117"/>
      <c r="C4" s="120" t="str">
        <f>'Soupis dodávek a prací'!D4</f>
        <v xml:space="preserve"> </v>
      </c>
      <c r="D4" s="117"/>
      <c r="E4" s="120" t="s">
        <v>9</v>
      </c>
      <c r="F4" s="120" t="str">
        <f>'Soupis dodávek a prací'!J4</f>
        <v>Mag. Arch. Jaroslav Trávnícek</v>
      </c>
      <c r="G4" s="117"/>
      <c r="H4" s="120" t="s">
        <v>4226</v>
      </c>
      <c r="I4" s="124" t="s">
        <v>54</v>
      </c>
    </row>
    <row r="5" spans="1:9" ht="15" customHeight="1" x14ac:dyDescent="0.25">
      <c r="A5" s="116"/>
      <c r="B5" s="117"/>
      <c r="C5" s="117"/>
      <c r="D5" s="117"/>
      <c r="E5" s="117"/>
      <c r="F5" s="117"/>
      <c r="G5" s="117"/>
      <c r="H5" s="117"/>
      <c r="I5" s="124"/>
    </row>
    <row r="6" spans="1:9" x14ac:dyDescent="0.25">
      <c r="A6" s="118" t="s">
        <v>11</v>
      </c>
      <c r="B6" s="117"/>
      <c r="C6" s="120" t="str">
        <f>'Soupis dodávek a prací'!D6</f>
        <v>na parc. c. 1833/1, 1833/2, 1833/4, 1833/9, 1833/10, 1834/2, 1834/4, 1834/7, 1838 v k.ú. Benešov u P</v>
      </c>
      <c r="D6" s="117"/>
      <c r="E6" s="120" t="s">
        <v>14</v>
      </c>
      <c r="F6" s="120" t="str">
        <f>'Soupis dodávek a prací'!J6</f>
        <v>dle výberového rízení</v>
      </c>
      <c r="G6" s="117"/>
      <c r="H6" s="120" t="s">
        <v>4226</v>
      </c>
      <c r="I6" s="124" t="s">
        <v>54</v>
      </c>
    </row>
    <row r="7" spans="1:9" ht="25.5" customHeight="1" x14ac:dyDescent="0.25">
      <c r="A7" s="116"/>
      <c r="B7" s="117"/>
      <c r="C7" s="117"/>
      <c r="D7" s="117"/>
      <c r="E7" s="117"/>
      <c r="F7" s="117"/>
      <c r="G7" s="117"/>
      <c r="H7" s="117"/>
      <c r="I7" s="124"/>
    </row>
    <row r="8" spans="1:9" x14ac:dyDescent="0.25">
      <c r="A8" s="118" t="s">
        <v>8</v>
      </c>
      <c r="B8" s="117"/>
      <c r="C8" s="120" t="str">
        <f>'Soupis dodávek a prací'!H4</f>
        <v xml:space="preserve"> </v>
      </c>
      <c r="D8" s="117"/>
      <c r="E8" s="120" t="s">
        <v>13</v>
      </c>
      <c r="F8" s="120" t="str">
        <f>'Soupis dodávek a prací'!H6</f>
        <v xml:space="preserve"> </v>
      </c>
      <c r="G8" s="117"/>
      <c r="H8" s="117" t="s">
        <v>4227</v>
      </c>
      <c r="I8" s="123">
        <v>968</v>
      </c>
    </row>
    <row r="9" spans="1:9" x14ac:dyDescent="0.25">
      <c r="A9" s="116"/>
      <c r="B9" s="117"/>
      <c r="C9" s="117"/>
      <c r="D9" s="117"/>
      <c r="E9" s="117"/>
      <c r="F9" s="117"/>
      <c r="G9" s="117"/>
      <c r="H9" s="117"/>
      <c r="I9" s="124"/>
    </row>
    <row r="10" spans="1:9" x14ac:dyDescent="0.25">
      <c r="A10" s="118" t="s">
        <v>16</v>
      </c>
      <c r="B10" s="117"/>
      <c r="C10" s="120" t="str">
        <f>'Soupis dodávek a prací'!D8</f>
        <v xml:space="preserve"> </v>
      </c>
      <c r="D10" s="117"/>
      <c r="E10" s="120" t="s">
        <v>19</v>
      </c>
      <c r="F10" s="120" t="str">
        <f>'Soupis dodávek a prací'!J8</f>
        <v> </v>
      </c>
      <c r="G10" s="117"/>
      <c r="H10" s="117" t="s">
        <v>4228</v>
      </c>
      <c r="I10" s="129">
        <f>'Soupis dodávek a prací'!H8</f>
        <v>45389</v>
      </c>
    </row>
    <row r="11" spans="1:9" x14ac:dyDescent="0.25">
      <c r="A11" s="134"/>
      <c r="B11" s="128"/>
      <c r="C11" s="128"/>
      <c r="D11" s="128"/>
      <c r="E11" s="128"/>
      <c r="F11" s="128"/>
      <c r="G11" s="128"/>
      <c r="H11" s="128"/>
      <c r="I11" s="130"/>
    </row>
    <row r="13" spans="1:9" ht="15.75" x14ac:dyDescent="0.25">
      <c r="A13" s="203" t="s">
        <v>4266</v>
      </c>
      <c r="B13" s="203"/>
      <c r="C13" s="203"/>
      <c r="D13" s="203"/>
      <c r="E13" s="203"/>
    </row>
    <row r="14" spans="1:9" x14ac:dyDescent="0.25">
      <c r="A14" s="204" t="s">
        <v>4267</v>
      </c>
      <c r="B14" s="205"/>
      <c r="C14" s="205"/>
      <c r="D14" s="205"/>
      <c r="E14" s="206"/>
      <c r="F14" s="48" t="s">
        <v>4268</v>
      </c>
      <c r="G14" s="48" t="s">
        <v>1447</v>
      </c>
      <c r="H14" s="48" t="s">
        <v>4269</v>
      </c>
      <c r="I14" s="48" t="s">
        <v>4268</v>
      </c>
    </row>
    <row r="15" spans="1:9" x14ac:dyDescent="0.25">
      <c r="A15" s="207" t="s">
        <v>4237</v>
      </c>
      <c r="B15" s="208"/>
      <c r="C15" s="208"/>
      <c r="D15" s="208"/>
      <c r="E15" s="209"/>
      <c r="F15" s="49">
        <v>0</v>
      </c>
      <c r="G15" s="50" t="s">
        <v>54</v>
      </c>
      <c r="H15" s="50" t="s">
        <v>54</v>
      </c>
      <c r="I15" s="49">
        <f>F15</f>
        <v>0</v>
      </c>
    </row>
    <row r="16" spans="1:9" x14ac:dyDescent="0.25">
      <c r="A16" s="207" t="s">
        <v>4239</v>
      </c>
      <c r="B16" s="208"/>
      <c r="C16" s="208"/>
      <c r="D16" s="208"/>
      <c r="E16" s="209"/>
      <c r="F16" s="49">
        <v>0</v>
      </c>
      <c r="G16" s="50" t="s">
        <v>54</v>
      </c>
      <c r="H16" s="50" t="s">
        <v>54</v>
      </c>
      <c r="I16" s="49">
        <f>F16</f>
        <v>0</v>
      </c>
    </row>
    <row r="17" spans="1:9" x14ac:dyDescent="0.25">
      <c r="A17" s="210" t="s">
        <v>4241</v>
      </c>
      <c r="B17" s="211"/>
      <c r="C17" s="211"/>
      <c r="D17" s="211"/>
      <c r="E17" s="212"/>
      <c r="F17" s="51">
        <v>0</v>
      </c>
      <c r="G17" s="52" t="s">
        <v>54</v>
      </c>
      <c r="H17" s="52" t="s">
        <v>54</v>
      </c>
      <c r="I17" s="51">
        <f>F17</f>
        <v>0</v>
      </c>
    </row>
    <row r="18" spans="1:9" x14ac:dyDescent="0.25">
      <c r="A18" s="213" t="s">
        <v>4270</v>
      </c>
      <c r="B18" s="214"/>
      <c r="C18" s="214"/>
      <c r="D18" s="214"/>
      <c r="E18" s="215"/>
      <c r="F18" s="53" t="s">
        <v>54</v>
      </c>
      <c r="G18" s="54" t="s">
        <v>54</v>
      </c>
      <c r="H18" s="54" t="s">
        <v>54</v>
      </c>
      <c r="I18" s="55">
        <f>SUM(I15:I17)</f>
        <v>0</v>
      </c>
    </row>
    <row r="20" spans="1:9" x14ac:dyDescent="0.25">
      <c r="A20" s="204" t="s">
        <v>4235</v>
      </c>
      <c r="B20" s="205"/>
      <c r="C20" s="205"/>
      <c r="D20" s="205"/>
      <c r="E20" s="206"/>
      <c r="F20" s="48" t="s">
        <v>4268</v>
      </c>
      <c r="G20" s="48" t="s">
        <v>1447</v>
      </c>
      <c r="H20" s="48" t="s">
        <v>4269</v>
      </c>
      <c r="I20" s="48" t="s">
        <v>4268</v>
      </c>
    </row>
    <row r="21" spans="1:9" x14ac:dyDescent="0.25">
      <c r="A21" s="207" t="s">
        <v>4167</v>
      </c>
      <c r="B21" s="208"/>
      <c r="C21" s="208"/>
      <c r="D21" s="208"/>
      <c r="E21" s="209"/>
      <c r="F21" s="49">
        <v>0</v>
      </c>
      <c r="G21" s="50" t="s">
        <v>54</v>
      </c>
      <c r="H21" s="50" t="s">
        <v>54</v>
      </c>
      <c r="I21" s="49">
        <f t="shared" ref="I21:I26" si="0">F21</f>
        <v>0</v>
      </c>
    </row>
    <row r="22" spans="1:9" x14ac:dyDescent="0.25">
      <c r="A22" s="207" t="s">
        <v>4240</v>
      </c>
      <c r="B22" s="208"/>
      <c r="C22" s="208"/>
      <c r="D22" s="208"/>
      <c r="E22" s="209"/>
      <c r="F22" s="49">
        <v>0</v>
      </c>
      <c r="G22" s="50" t="s">
        <v>54</v>
      </c>
      <c r="H22" s="50" t="s">
        <v>54</v>
      </c>
      <c r="I22" s="49">
        <f t="shared" si="0"/>
        <v>0</v>
      </c>
    </row>
    <row r="23" spans="1:9" x14ac:dyDescent="0.25">
      <c r="A23" s="207" t="s">
        <v>4189</v>
      </c>
      <c r="B23" s="208"/>
      <c r="C23" s="208"/>
      <c r="D23" s="208"/>
      <c r="E23" s="209"/>
      <c r="F23" s="49">
        <v>0</v>
      </c>
      <c r="G23" s="50" t="s">
        <v>54</v>
      </c>
      <c r="H23" s="50" t="s">
        <v>54</v>
      </c>
      <c r="I23" s="49">
        <f t="shared" si="0"/>
        <v>0</v>
      </c>
    </row>
    <row r="24" spans="1:9" x14ac:dyDescent="0.25">
      <c r="A24" s="207" t="s">
        <v>4197</v>
      </c>
      <c r="B24" s="208"/>
      <c r="C24" s="208"/>
      <c r="D24" s="208"/>
      <c r="E24" s="209"/>
      <c r="F24" s="49">
        <v>0</v>
      </c>
      <c r="G24" s="50" t="s">
        <v>54</v>
      </c>
      <c r="H24" s="50" t="s">
        <v>54</v>
      </c>
      <c r="I24" s="49">
        <f t="shared" si="0"/>
        <v>0</v>
      </c>
    </row>
    <row r="25" spans="1:9" x14ac:dyDescent="0.25">
      <c r="A25" s="207" t="s">
        <v>4243</v>
      </c>
      <c r="B25" s="208"/>
      <c r="C25" s="208"/>
      <c r="D25" s="208"/>
      <c r="E25" s="209"/>
      <c r="F25" s="49">
        <v>0</v>
      </c>
      <c r="G25" s="50" t="s">
        <v>54</v>
      </c>
      <c r="H25" s="50" t="s">
        <v>54</v>
      </c>
      <c r="I25" s="49">
        <f t="shared" si="0"/>
        <v>0</v>
      </c>
    </row>
    <row r="26" spans="1:9" x14ac:dyDescent="0.25">
      <c r="A26" s="210" t="s">
        <v>4271</v>
      </c>
      <c r="B26" s="211"/>
      <c r="C26" s="211"/>
      <c r="D26" s="211"/>
      <c r="E26" s="212"/>
      <c r="F26" s="51">
        <v>0</v>
      </c>
      <c r="G26" s="52" t="s">
        <v>54</v>
      </c>
      <c r="H26" s="52" t="s">
        <v>54</v>
      </c>
      <c r="I26" s="51">
        <f t="shared" si="0"/>
        <v>0</v>
      </c>
    </row>
    <row r="27" spans="1:9" x14ac:dyDescent="0.25">
      <c r="A27" s="213" t="s">
        <v>4272</v>
      </c>
      <c r="B27" s="214"/>
      <c r="C27" s="214"/>
      <c r="D27" s="214"/>
      <c r="E27" s="215"/>
      <c r="F27" s="53" t="s">
        <v>54</v>
      </c>
      <c r="G27" s="55">
        <v>5</v>
      </c>
      <c r="H27" s="55">
        <f>'Krycí list rozpočtu'!C22</f>
        <v>0</v>
      </c>
      <c r="I27" s="55">
        <f>ROUND((G27/100)*H27,2)</f>
        <v>0</v>
      </c>
    </row>
    <row r="29" spans="1:9" ht="15.75" x14ac:dyDescent="0.25">
      <c r="A29" s="216" t="s">
        <v>4273</v>
      </c>
      <c r="B29" s="217"/>
      <c r="C29" s="217"/>
      <c r="D29" s="217"/>
      <c r="E29" s="218"/>
      <c r="F29" s="219">
        <f>I18+I27</f>
        <v>0</v>
      </c>
      <c r="G29" s="220"/>
      <c r="H29" s="220"/>
      <c r="I29" s="221"/>
    </row>
    <row r="33" spans="1:9" ht="15.75" x14ac:dyDescent="0.25">
      <c r="A33" s="203" t="s">
        <v>4274</v>
      </c>
      <c r="B33" s="203"/>
      <c r="C33" s="203"/>
      <c r="D33" s="203"/>
      <c r="E33" s="203"/>
    </row>
    <row r="34" spans="1:9" x14ac:dyDescent="0.25">
      <c r="A34" s="204" t="s">
        <v>4275</v>
      </c>
      <c r="B34" s="205"/>
      <c r="C34" s="205"/>
      <c r="D34" s="205"/>
      <c r="E34" s="206"/>
      <c r="F34" s="48" t="s">
        <v>4268</v>
      </c>
      <c r="G34" s="48" t="s">
        <v>1447</v>
      </c>
      <c r="H34" s="48" t="s">
        <v>4269</v>
      </c>
      <c r="I34" s="48" t="s">
        <v>4268</v>
      </c>
    </row>
    <row r="35" spans="1:9" x14ac:dyDescent="0.25">
      <c r="A35" s="207" t="s">
        <v>4276</v>
      </c>
      <c r="B35" s="208"/>
      <c r="C35" s="208"/>
      <c r="D35" s="208"/>
      <c r="E35" s="209"/>
      <c r="F35" s="49">
        <f>SUM('Soupis dodávek a prací'!BM12:BM2852)</f>
        <v>0</v>
      </c>
      <c r="G35" s="50" t="s">
        <v>54</v>
      </c>
      <c r="H35" s="50" t="s">
        <v>54</v>
      </c>
      <c r="I35" s="49">
        <f t="shared" ref="I35:I44" si="1">F35</f>
        <v>0</v>
      </c>
    </row>
    <row r="36" spans="1:9" x14ac:dyDescent="0.25">
      <c r="A36" s="207" t="s">
        <v>4277</v>
      </c>
      <c r="B36" s="208"/>
      <c r="C36" s="208"/>
      <c r="D36" s="208"/>
      <c r="E36" s="209"/>
      <c r="F36" s="49">
        <f>SUM('Soupis dodávek a prací'!BN12:BN2852)</f>
        <v>0</v>
      </c>
      <c r="G36" s="50" t="s">
        <v>54</v>
      </c>
      <c r="H36" s="50" t="s">
        <v>54</v>
      </c>
      <c r="I36" s="49">
        <f t="shared" si="1"/>
        <v>0</v>
      </c>
    </row>
    <row r="37" spans="1:9" x14ac:dyDescent="0.25">
      <c r="A37" s="207" t="s">
        <v>4167</v>
      </c>
      <c r="B37" s="208"/>
      <c r="C37" s="208"/>
      <c r="D37" s="208"/>
      <c r="E37" s="209"/>
      <c r="F37" s="49">
        <f>SUM('Soupis dodávek a prací'!BO12:BO2852)</f>
        <v>0</v>
      </c>
      <c r="G37" s="50" t="s">
        <v>54</v>
      </c>
      <c r="H37" s="50" t="s">
        <v>54</v>
      </c>
      <c r="I37" s="49">
        <f t="shared" si="1"/>
        <v>0</v>
      </c>
    </row>
    <row r="38" spans="1:9" x14ac:dyDescent="0.25">
      <c r="A38" s="207" t="s">
        <v>4174</v>
      </c>
      <c r="B38" s="208"/>
      <c r="C38" s="208"/>
      <c r="D38" s="208"/>
      <c r="E38" s="209"/>
      <c r="F38" s="49">
        <f>SUM('Soupis dodávek a prací'!BP12:BP2852)</f>
        <v>0</v>
      </c>
      <c r="G38" s="50" t="s">
        <v>54</v>
      </c>
      <c r="H38" s="50" t="s">
        <v>54</v>
      </c>
      <c r="I38" s="49">
        <f t="shared" si="1"/>
        <v>0</v>
      </c>
    </row>
    <row r="39" spans="1:9" x14ac:dyDescent="0.25">
      <c r="A39" s="207" t="s">
        <v>4183</v>
      </c>
      <c r="B39" s="208"/>
      <c r="C39" s="208"/>
      <c r="D39" s="208"/>
      <c r="E39" s="209"/>
      <c r="F39" s="49">
        <f>SUM('Soupis dodávek a prací'!BQ12:BQ2852)</f>
        <v>0</v>
      </c>
      <c r="G39" s="50" t="s">
        <v>54</v>
      </c>
      <c r="H39" s="50" t="s">
        <v>54</v>
      </c>
      <c r="I39" s="49">
        <f t="shared" si="1"/>
        <v>0</v>
      </c>
    </row>
    <row r="40" spans="1:9" x14ac:dyDescent="0.25">
      <c r="A40" s="207" t="s">
        <v>4189</v>
      </c>
      <c r="B40" s="208"/>
      <c r="C40" s="208"/>
      <c r="D40" s="208"/>
      <c r="E40" s="209"/>
      <c r="F40" s="49">
        <f>SUM('Soupis dodávek a prací'!BR12:BR2852)</f>
        <v>0</v>
      </c>
      <c r="G40" s="50" t="s">
        <v>54</v>
      </c>
      <c r="H40" s="50" t="s">
        <v>54</v>
      </c>
      <c r="I40" s="49">
        <f t="shared" si="1"/>
        <v>0</v>
      </c>
    </row>
    <row r="41" spans="1:9" x14ac:dyDescent="0.25">
      <c r="A41" s="207" t="s">
        <v>4197</v>
      </c>
      <c r="B41" s="208"/>
      <c r="C41" s="208"/>
      <c r="D41" s="208"/>
      <c r="E41" s="209"/>
      <c r="F41" s="49">
        <f>SUM('Soupis dodávek a prací'!BS12:BS2852)</f>
        <v>0</v>
      </c>
      <c r="G41" s="50" t="s">
        <v>54</v>
      </c>
      <c r="H41" s="50" t="s">
        <v>54</v>
      </c>
      <c r="I41" s="49">
        <f t="shared" si="1"/>
        <v>0</v>
      </c>
    </row>
    <row r="42" spans="1:9" x14ac:dyDescent="0.25">
      <c r="A42" s="207" t="s">
        <v>4278</v>
      </c>
      <c r="B42" s="208"/>
      <c r="C42" s="208"/>
      <c r="D42" s="208"/>
      <c r="E42" s="209"/>
      <c r="F42" s="49">
        <f>SUM('Soupis dodávek a prací'!BT12:BT2852)</f>
        <v>0</v>
      </c>
      <c r="G42" s="50" t="s">
        <v>54</v>
      </c>
      <c r="H42" s="50" t="s">
        <v>54</v>
      </c>
      <c r="I42" s="49">
        <f t="shared" si="1"/>
        <v>0</v>
      </c>
    </row>
    <row r="43" spans="1:9" x14ac:dyDescent="0.25">
      <c r="A43" s="207" t="s">
        <v>4202</v>
      </c>
      <c r="B43" s="208"/>
      <c r="C43" s="208"/>
      <c r="D43" s="208"/>
      <c r="E43" s="209"/>
      <c r="F43" s="49">
        <f>SUM('Soupis dodávek a prací'!BU12:BU2852)</f>
        <v>0</v>
      </c>
      <c r="G43" s="50" t="s">
        <v>54</v>
      </c>
      <c r="H43" s="50" t="s">
        <v>54</v>
      </c>
      <c r="I43" s="49">
        <f t="shared" si="1"/>
        <v>0</v>
      </c>
    </row>
    <row r="44" spans="1:9" x14ac:dyDescent="0.25">
      <c r="A44" s="210" t="s">
        <v>4279</v>
      </c>
      <c r="B44" s="211"/>
      <c r="C44" s="211"/>
      <c r="D44" s="211"/>
      <c r="E44" s="212"/>
      <c r="F44" s="51">
        <f>SUM('Soupis dodávek a prací'!BV12:BV2852)</f>
        <v>0</v>
      </c>
      <c r="G44" s="52" t="s">
        <v>54</v>
      </c>
      <c r="H44" s="52" t="s">
        <v>54</v>
      </c>
      <c r="I44" s="51">
        <f t="shared" si="1"/>
        <v>0</v>
      </c>
    </row>
    <row r="45" spans="1:9" x14ac:dyDescent="0.25">
      <c r="A45" s="213" t="s">
        <v>4280</v>
      </c>
      <c r="B45" s="214"/>
      <c r="C45" s="214"/>
      <c r="D45" s="214"/>
      <c r="E45" s="215"/>
      <c r="F45" s="53" t="s">
        <v>54</v>
      </c>
      <c r="G45" s="54" t="s">
        <v>54</v>
      </c>
      <c r="H45" s="54" t="s">
        <v>54</v>
      </c>
      <c r="I45" s="55">
        <f>SUM(I35:I44)</f>
        <v>0</v>
      </c>
    </row>
  </sheetData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Props1.xml><?xml version="1.0" encoding="utf-8"?>
<ds:datastoreItem xmlns:ds="http://schemas.openxmlformats.org/officeDocument/2006/customXml" ds:itemID="{F7CBD083-A4DD-4600-9406-0B5B938874AC}"/>
</file>

<file path=customXml/itemProps2.xml><?xml version="1.0" encoding="utf-8"?>
<ds:datastoreItem xmlns:ds="http://schemas.openxmlformats.org/officeDocument/2006/customXml" ds:itemID="{416F2AB9-14F5-4FF4-B48C-862D453C8232}"/>
</file>

<file path=customXml/itemProps3.xml><?xml version="1.0" encoding="utf-8"?>
<ds:datastoreItem xmlns:ds="http://schemas.openxmlformats.org/officeDocument/2006/customXml" ds:itemID="{77180810-801C-4F3E-B6F9-89BB046B70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Rekapitulace</vt:lpstr>
      <vt:lpstr>Soupis dodávek a prací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Tereza Husáková</cp:lastModifiedBy>
  <dcterms:created xsi:type="dcterms:W3CDTF">2021-06-10T20:06:38Z</dcterms:created>
  <dcterms:modified xsi:type="dcterms:W3CDTF">2025-03-14T15:25:44Z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</Properties>
</file>